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35" windowWidth="9690" windowHeight="3120" tabRatio="920" activeTab="0"/>
  </bookViews>
  <sheets>
    <sheet name="2015" sheetId="1" r:id="rId1"/>
  </sheets>
  <definedNames>
    <definedName name="_xlnm.Print_Area" localSheetId="0">'2015'!$A$1:$E$81</definedName>
  </definedNames>
  <calcPr fullCalcOnLoad="1"/>
</workbook>
</file>

<file path=xl/sharedStrings.xml><?xml version="1.0" encoding="utf-8"?>
<sst xmlns="http://schemas.openxmlformats.org/spreadsheetml/2006/main" count="97" uniqueCount="96">
  <si>
    <t xml:space="preserve"> Абзелиловский р-н</t>
  </si>
  <si>
    <t xml:space="preserve"> Аскинский р-н</t>
  </si>
  <si>
    <t xml:space="preserve"> Бижбулякский р-н</t>
  </si>
  <si>
    <t xml:space="preserve"> Бакалинский р-н</t>
  </si>
  <si>
    <t xml:space="preserve"> Балтачевский р-н</t>
  </si>
  <si>
    <t xml:space="preserve"> Гафурийский р-н</t>
  </si>
  <si>
    <t xml:space="preserve"> Альшеевский р-н</t>
  </si>
  <si>
    <t xml:space="preserve"> Ермекеевский р-н</t>
  </si>
  <si>
    <t xml:space="preserve"> Зианчуринский р-н</t>
  </si>
  <si>
    <t xml:space="preserve"> Зилаирский р-н</t>
  </si>
  <si>
    <t xml:space="preserve"> Иглинский р-н</t>
  </si>
  <si>
    <t xml:space="preserve"> Илишевский р-н</t>
  </si>
  <si>
    <t xml:space="preserve"> Караидельский р-н</t>
  </si>
  <si>
    <t xml:space="preserve"> Краснокамский р-н</t>
  </si>
  <si>
    <t xml:space="preserve"> Кугарчинский р-н</t>
  </si>
  <si>
    <t xml:space="preserve"> Кушнаренковский р-н</t>
  </si>
  <si>
    <t xml:space="preserve"> Куюргазинский р-н</t>
  </si>
  <si>
    <t xml:space="preserve"> Мишкинский р-н</t>
  </si>
  <si>
    <t xml:space="preserve"> Салаватский р-н</t>
  </si>
  <si>
    <t xml:space="preserve"> Татышлинский р-н</t>
  </si>
  <si>
    <t xml:space="preserve"> Федоровский р-н</t>
  </si>
  <si>
    <t xml:space="preserve"> Хайбуллинский р-н</t>
  </si>
  <si>
    <t xml:space="preserve"> Чишминский р-н</t>
  </si>
  <si>
    <t xml:space="preserve"> Уфимский р-н</t>
  </si>
  <si>
    <t xml:space="preserve"> Архангельский р-н</t>
  </si>
  <si>
    <t xml:space="preserve"> Аургазинский р-н</t>
  </si>
  <si>
    <t xml:space="preserve"> Белокатайский р-н</t>
  </si>
  <si>
    <t xml:space="preserve"> Благоварский р-н</t>
  </si>
  <si>
    <t xml:space="preserve"> Буздякский р-н</t>
  </si>
  <si>
    <t xml:space="preserve"> Бураевский р-н</t>
  </si>
  <si>
    <t xml:space="preserve"> Бурзянский р-н</t>
  </si>
  <si>
    <t xml:space="preserve"> Дуванский р-н</t>
  </si>
  <si>
    <t xml:space="preserve"> Калтасинский р-н</t>
  </si>
  <si>
    <t xml:space="preserve"> Кармаскалинский р-н</t>
  </si>
  <si>
    <t xml:space="preserve"> Кигинский р-н</t>
  </si>
  <si>
    <t xml:space="preserve"> Мечетлинский р-н</t>
  </si>
  <si>
    <t xml:space="preserve"> Миякинский р-н</t>
  </si>
  <si>
    <t xml:space="preserve"> Нуримановский р-н</t>
  </si>
  <si>
    <t xml:space="preserve"> Стерлибашевский р-н</t>
  </si>
  <si>
    <t xml:space="preserve"> Стерлитамакский р-н</t>
  </si>
  <si>
    <t xml:space="preserve"> Чекмагушевский р-н</t>
  </si>
  <si>
    <t xml:space="preserve"> Шаранский р-н</t>
  </si>
  <si>
    <t>0►1</t>
  </si>
  <si>
    <t>1►2</t>
  </si>
  <si>
    <t>2►5</t>
  </si>
  <si>
    <t>5►11</t>
  </si>
  <si>
    <t>31►40</t>
  </si>
  <si>
    <t>41►50</t>
  </si>
  <si>
    <t>51►60</t>
  </si>
  <si>
    <t xml:space="preserve">   ТЕРРИТОРИЯ</t>
  </si>
  <si>
    <t>ВСЕГО</t>
  </si>
  <si>
    <t>МУЖ</t>
  </si>
  <si>
    <t>ЖЕН</t>
  </si>
  <si>
    <t>18►30</t>
  </si>
  <si>
    <t>11►14</t>
  </si>
  <si>
    <t>подр.</t>
  </si>
  <si>
    <r>
      <t>&gt;</t>
    </r>
    <r>
      <rPr>
        <b/>
        <sz val="10"/>
        <rFont val="Arial Cyr"/>
        <family val="2"/>
      </rPr>
      <t xml:space="preserve"> 60</t>
    </r>
  </si>
  <si>
    <t xml:space="preserve"> - Октябрьский р-н</t>
  </si>
  <si>
    <t xml:space="preserve"> - Демский р-н</t>
  </si>
  <si>
    <t xml:space="preserve"> - Кировский р-н</t>
  </si>
  <si>
    <t xml:space="preserve"> - Орджоник. р-н</t>
  </si>
  <si>
    <t xml:space="preserve"> - Советский р-н</t>
  </si>
  <si>
    <t xml:space="preserve"> - Калининский р-н</t>
  </si>
  <si>
    <t xml:space="preserve"> - Ленинский р-н</t>
  </si>
  <si>
    <t xml:space="preserve">   АГИДЕЛЬ</t>
  </si>
  <si>
    <t xml:space="preserve">   КУМЕРТАУ</t>
  </si>
  <si>
    <t xml:space="preserve">   НЕФТЕКАМСК</t>
  </si>
  <si>
    <t xml:space="preserve">   ОКТЯБРЬСКИЙ</t>
  </si>
  <si>
    <t xml:space="preserve">   САЛАВАТ</t>
  </si>
  <si>
    <t xml:space="preserve">   СИБАЙ</t>
  </si>
  <si>
    <t xml:space="preserve">   СТЕРЛИТАМАК</t>
  </si>
  <si>
    <t xml:space="preserve"> Баймак+ р-н</t>
  </si>
  <si>
    <t xml:space="preserve"> Белебеей+ р-н</t>
  </si>
  <si>
    <t xml:space="preserve"> Белорецк+ р-н</t>
  </si>
  <si>
    <t xml:space="preserve"> Бирск+ р-н</t>
  </si>
  <si>
    <t xml:space="preserve"> Благовещенск+ р-н</t>
  </si>
  <si>
    <t xml:space="preserve"> Давлеканово+ р-н</t>
  </si>
  <si>
    <t xml:space="preserve"> Дюртюли+ р-н</t>
  </si>
  <si>
    <t xml:space="preserve"> Ишимбай+ р-н</t>
  </si>
  <si>
    <t xml:space="preserve"> Мелеуз+ р-н</t>
  </si>
  <si>
    <t xml:space="preserve"> Туймазы+ р-н</t>
  </si>
  <si>
    <t xml:space="preserve"> Учалы+ р-н</t>
  </si>
  <si>
    <t xml:space="preserve"> Янаул+ р-н</t>
  </si>
  <si>
    <t xml:space="preserve"> РАЙОНЫ (всего)</t>
  </si>
  <si>
    <t xml:space="preserve"> РЕСПУБЛИКА (всего)</t>
  </si>
  <si>
    <t>заб-ть</t>
  </si>
  <si>
    <t>иногородние</t>
  </si>
  <si>
    <t>ГУ ФСИН РФ по РБ</t>
  </si>
  <si>
    <t xml:space="preserve">  ГО г. Уфа (всего) </t>
  </si>
  <si>
    <t xml:space="preserve"> ГОРОДСКИЕ ОКРУГА (всего)</t>
  </si>
  <si>
    <t>БОМЖ</t>
  </si>
  <si>
    <t xml:space="preserve"> РЕСПУБЛИКА - заб-ть</t>
  </si>
  <si>
    <t>Межгорье</t>
  </si>
  <si>
    <t>жители РБ</t>
  </si>
  <si>
    <t>прибывшие</t>
  </si>
  <si>
    <t xml:space="preserve">   ЗАБОЛЕВАЕМОСТЬ  ВИЧ-ИНФЕКЦИЕЙ  по  РБ за 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</si>
</sst>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EsseDiai"/>
      <family val="5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2" borderId="10" xfId="0" applyFont="1" applyFill="1" applyBorder="1" applyAlignment="1">
      <alignment horizontal="justify"/>
    </xf>
    <xf numFmtId="0" fontId="1" fillId="32" borderId="10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/>
    </xf>
    <xf numFmtId="1" fontId="4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5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35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81"/>
  <sheetViews>
    <sheetView tabSelected="1" zoomScaleSheetLayoutView="100" zoomScalePageLayoutView="0" workbookViewId="0" topLeftCell="A1">
      <pane xSplit="6" ySplit="2" topLeftCell="J5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T10" sqref="T10"/>
    </sheetView>
  </sheetViews>
  <sheetFormatPr defaultColWidth="9.00390625" defaultRowHeight="12.75"/>
  <cols>
    <col min="1" max="1" width="22.25390625" style="14" customWidth="1"/>
    <col min="2" max="2" width="10.75390625" style="14" customWidth="1"/>
    <col min="3" max="3" width="11.125" style="14" customWidth="1"/>
    <col min="4" max="4" width="10.375" style="14" customWidth="1"/>
    <col min="5" max="5" width="11.375" style="52" customWidth="1"/>
    <col min="6" max="6" width="8.625" style="14" customWidth="1"/>
    <col min="7" max="17" width="6.75390625" style="14" customWidth="1"/>
    <col min="18" max="16384" width="9.125" style="14" customWidth="1"/>
  </cols>
  <sheetData>
    <row r="1" spans="1:8" s="7" customFormat="1" ht="12.75">
      <c r="A1" s="5" t="s">
        <v>95</v>
      </c>
      <c r="B1" s="5"/>
      <c r="C1" s="5"/>
      <c r="D1" s="5"/>
      <c r="E1" s="6"/>
      <c r="F1" s="5"/>
      <c r="G1" s="5"/>
      <c r="H1" s="5"/>
    </row>
    <row r="2" spans="1:17" ht="12.75">
      <c r="A2" s="8" t="s">
        <v>49</v>
      </c>
      <c r="B2" s="9" t="s">
        <v>51</v>
      </c>
      <c r="C2" s="9" t="s">
        <v>52</v>
      </c>
      <c r="D2" s="9" t="s">
        <v>50</v>
      </c>
      <c r="E2" s="10" t="s">
        <v>85</v>
      </c>
      <c r="F2" s="9" t="s">
        <v>50</v>
      </c>
      <c r="G2" s="11" t="s">
        <v>42</v>
      </c>
      <c r="H2" s="11" t="s">
        <v>43</v>
      </c>
      <c r="I2" s="11" t="s">
        <v>44</v>
      </c>
      <c r="J2" s="11" t="s">
        <v>45</v>
      </c>
      <c r="K2" s="12" t="s">
        <v>54</v>
      </c>
      <c r="L2" s="11" t="s">
        <v>55</v>
      </c>
      <c r="M2" s="11" t="s">
        <v>53</v>
      </c>
      <c r="N2" s="11" t="s">
        <v>46</v>
      </c>
      <c r="O2" s="11" t="s">
        <v>47</v>
      </c>
      <c r="P2" s="11" t="s">
        <v>48</v>
      </c>
      <c r="Q2" s="13" t="s">
        <v>56</v>
      </c>
    </row>
    <row r="3" spans="1:17" ht="12.75">
      <c r="A3" s="3" t="s">
        <v>87</v>
      </c>
      <c r="B3" s="4">
        <f>B4+B5</f>
        <v>468</v>
      </c>
      <c r="C3" s="4">
        <f>C4+C5</f>
        <v>80</v>
      </c>
      <c r="D3" s="4">
        <f>D4+D5</f>
        <v>548</v>
      </c>
      <c r="E3" s="15">
        <f>E4+E5</f>
        <v>0</v>
      </c>
      <c r="F3" s="1">
        <f>F4+F5</f>
        <v>548</v>
      </c>
      <c r="G3" s="1">
        <f aca="true" t="shared" si="0" ref="G3:Q3">G4+G5</f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2</v>
      </c>
      <c r="M3" s="1">
        <f t="shared" si="0"/>
        <v>173</v>
      </c>
      <c r="N3" s="1">
        <f t="shared" si="0"/>
        <v>287</v>
      </c>
      <c r="O3" s="1">
        <f t="shared" si="0"/>
        <v>74</v>
      </c>
      <c r="P3" s="1">
        <f t="shared" si="0"/>
        <v>12</v>
      </c>
      <c r="Q3" s="1">
        <f t="shared" si="0"/>
        <v>0</v>
      </c>
    </row>
    <row r="4" spans="1:17" s="22" customFormat="1" ht="12.75">
      <c r="A4" s="16" t="s">
        <v>93</v>
      </c>
      <c r="B4" s="17">
        <v>417</v>
      </c>
      <c r="C4" s="17">
        <v>73</v>
      </c>
      <c r="D4" s="1">
        <f>B4+C4</f>
        <v>490</v>
      </c>
      <c r="E4" s="18"/>
      <c r="F4" s="19">
        <f>G4+H4+I4+J4+K4+L4+M4+N4+O4+P4+Q4</f>
        <v>490</v>
      </c>
      <c r="G4" s="20"/>
      <c r="H4" s="20"/>
      <c r="I4" s="20"/>
      <c r="J4" s="20"/>
      <c r="K4" s="20"/>
      <c r="L4" s="20">
        <v>2</v>
      </c>
      <c r="M4" s="20">
        <v>156</v>
      </c>
      <c r="N4" s="20">
        <v>255</v>
      </c>
      <c r="O4" s="20">
        <v>66</v>
      </c>
      <c r="P4" s="20">
        <v>11</v>
      </c>
      <c r="Q4" s="20"/>
    </row>
    <row r="5" spans="1:17" s="22" customFormat="1" ht="12.75">
      <c r="A5" s="23" t="s">
        <v>94</v>
      </c>
      <c r="B5" s="24">
        <v>51</v>
      </c>
      <c r="C5" s="24">
        <v>7</v>
      </c>
      <c r="D5" s="1">
        <f>B5+C5</f>
        <v>58</v>
      </c>
      <c r="E5" s="18"/>
      <c r="F5" s="19">
        <f>G5+H5+I5+J5+K5+L5+M5+N5+O5+P5+Q5</f>
        <v>58</v>
      </c>
      <c r="G5" s="20"/>
      <c r="H5" s="20"/>
      <c r="I5" s="20"/>
      <c r="J5" s="20"/>
      <c r="K5" s="20"/>
      <c r="L5" s="20"/>
      <c r="M5" s="20">
        <v>17</v>
      </c>
      <c r="N5" s="20">
        <v>32</v>
      </c>
      <c r="O5" s="20">
        <v>8</v>
      </c>
      <c r="P5" s="20">
        <v>1</v>
      </c>
      <c r="Q5" s="20"/>
    </row>
    <row r="6" spans="1:17" ht="12.75">
      <c r="A6" s="25" t="s">
        <v>88</v>
      </c>
      <c r="B6" s="26">
        <f>B7+B8+B9+B10+B11+B12+B13</f>
        <v>534</v>
      </c>
      <c r="C6" s="26">
        <f>C7+C8+C9+C10+C11+C12+C13</f>
        <v>312</v>
      </c>
      <c r="D6" s="27">
        <f aca="true" t="shared" si="1" ref="D6:D69">B6+C6</f>
        <v>846</v>
      </c>
      <c r="E6" s="28">
        <f>(D6*100000)/1106635</f>
        <v>76.44797064976257</v>
      </c>
      <c r="F6" s="29">
        <f>F7+F8+F9+F10+F11+F12+F13</f>
        <v>846</v>
      </c>
      <c r="G6" s="29">
        <f aca="true" t="shared" si="2" ref="G6:Q6">G7+G8+G9+G10+G11+G12+G13</f>
        <v>7</v>
      </c>
      <c r="H6" s="29">
        <f t="shared" si="2"/>
        <v>0</v>
      </c>
      <c r="I6" s="29">
        <f t="shared" si="2"/>
        <v>2</v>
      </c>
      <c r="J6" s="29">
        <f t="shared" si="2"/>
        <v>0</v>
      </c>
      <c r="K6" s="29">
        <f t="shared" si="2"/>
        <v>0</v>
      </c>
      <c r="L6" s="29">
        <f t="shared" si="2"/>
        <v>3</v>
      </c>
      <c r="M6" s="29">
        <f t="shared" si="2"/>
        <v>256</v>
      </c>
      <c r="N6" s="29">
        <f t="shared" si="2"/>
        <v>428</v>
      </c>
      <c r="O6" s="29">
        <f t="shared" si="2"/>
        <v>114</v>
      </c>
      <c r="P6" s="29">
        <f t="shared" si="2"/>
        <v>30</v>
      </c>
      <c r="Q6" s="29">
        <f t="shared" si="2"/>
        <v>6</v>
      </c>
    </row>
    <row r="7" spans="1:17" ht="12.75">
      <c r="A7" s="30" t="s">
        <v>57</v>
      </c>
      <c r="B7" s="31">
        <v>81</v>
      </c>
      <c r="C7" s="31">
        <v>47</v>
      </c>
      <c r="D7" s="1">
        <f t="shared" si="1"/>
        <v>128</v>
      </c>
      <c r="E7" s="32">
        <f>(D7*100000)/238248</f>
        <v>53.725529700144385</v>
      </c>
      <c r="F7" s="11">
        <f aca="true" t="shared" si="3" ref="F7:F70">G7+H7+I7+J7+K7+L7+M7+N7+O7+P7+Q7</f>
        <v>128</v>
      </c>
      <c r="G7" s="2"/>
      <c r="H7" s="2"/>
      <c r="I7" s="2"/>
      <c r="J7" s="2"/>
      <c r="K7" s="2"/>
      <c r="L7" s="2"/>
      <c r="M7" s="2">
        <v>35</v>
      </c>
      <c r="N7" s="2">
        <v>74</v>
      </c>
      <c r="O7" s="2">
        <v>14</v>
      </c>
      <c r="P7" s="2">
        <v>4</v>
      </c>
      <c r="Q7" s="2">
        <v>1</v>
      </c>
    </row>
    <row r="8" spans="1:17" ht="12.75">
      <c r="A8" s="30" t="s">
        <v>58</v>
      </c>
      <c r="B8" s="21">
        <v>31</v>
      </c>
      <c r="C8" s="21">
        <v>21</v>
      </c>
      <c r="D8" s="1">
        <f t="shared" si="1"/>
        <v>52</v>
      </c>
      <c r="E8" s="32">
        <f>(D8*100000)/65136</f>
        <v>79.83296487349546</v>
      </c>
      <c r="F8" s="11">
        <f t="shared" si="3"/>
        <v>52</v>
      </c>
      <c r="G8" s="2">
        <v>2</v>
      </c>
      <c r="H8" s="2"/>
      <c r="I8" s="2"/>
      <c r="J8" s="2"/>
      <c r="K8" s="2"/>
      <c r="L8" s="2">
        <v>1</v>
      </c>
      <c r="M8" s="2">
        <v>12</v>
      </c>
      <c r="N8" s="2">
        <v>29</v>
      </c>
      <c r="O8" s="2">
        <v>6</v>
      </c>
      <c r="P8" s="2">
        <v>1</v>
      </c>
      <c r="Q8" s="2">
        <v>1</v>
      </c>
    </row>
    <row r="9" spans="1:17" ht="12.75">
      <c r="A9" s="30" t="s">
        <v>59</v>
      </c>
      <c r="B9" s="21">
        <v>59</v>
      </c>
      <c r="C9" s="21">
        <v>27</v>
      </c>
      <c r="D9" s="1">
        <f t="shared" si="1"/>
        <v>86</v>
      </c>
      <c r="E9" s="32">
        <f>(D9*100000)/150191</f>
        <v>57.26042172966423</v>
      </c>
      <c r="F9" s="11">
        <f t="shared" si="3"/>
        <v>86</v>
      </c>
      <c r="G9" s="2">
        <v>1</v>
      </c>
      <c r="H9" s="2"/>
      <c r="I9" s="2"/>
      <c r="J9" s="2"/>
      <c r="K9" s="2"/>
      <c r="L9" s="2"/>
      <c r="M9" s="2">
        <v>26</v>
      </c>
      <c r="N9" s="2">
        <v>47</v>
      </c>
      <c r="O9" s="2">
        <v>8</v>
      </c>
      <c r="P9" s="2">
        <v>3</v>
      </c>
      <c r="Q9" s="2">
        <v>1</v>
      </c>
    </row>
    <row r="10" spans="1:17" ht="12.75">
      <c r="A10" s="30" t="s">
        <v>60</v>
      </c>
      <c r="B10" s="21">
        <v>131</v>
      </c>
      <c r="C10" s="21">
        <v>66</v>
      </c>
      <c r="D10" s="1">
        <f t="shared" si="1"/>
        <v>197</v>
      </c>
      <c r="E10" s="32">
        <f>(D10*100000)/173727</f>
        <v>113.39630569802046</v>
      </c>
      <c r="F10" s="11">
        <f t="shared" si="3"/>
        <v>197</v>
      </c>
      <c r="G10" s="2"/>
      <c r="H10" s="2"/>
      <c r="I10" s="2"/>
      <c r="J10" s="2"/>
      <c r="K10" s="2"/>
      <c r="L10" s="2">
        <v>1</v>
      </c>
      <c r="M10" s="2">
        <v>58</v>
      </c>
      <c r="N10" s="2">
        <v>104</v>
      </c>
      <c r="O10" s="2">
        <v>28</v>
      </c>
      <c r="P10" s="2">
        <v>4</v>
      </c>
      <c r="Q10" s="2">
        <v>2</v>
      </c>
    </row>
    <row r="11" spans="1:17" ht="12.75">
      <c r="A11" s="30" t="s">
        <v>61</v>
      </c>
      <c r="B11" s="21">
        <v>61</v>
      </c>
      <c r="C11" s="21">
        <v>40</v>
      </c>
      <c r="D11" s="1">
        <f t="shared" si="1"/>
        <v>101</v>
      </c>
      <c r="E11" s="32">
        <f>(D11*100000)/175530</f>
        <v>57.540021648721016</v>
      </c>
      <c r="F11" s="11">
        <f t="shared" si="3"/>
        <v>101</v>
      </c>
      <c r="G11" s="2">
        <v>2</v>
      </c>
      <c r="H11" s="2"/>
      <c r="I11" s="2">
        <v>1</v>
      </c>
      <c r="J11" s="2"/>
      <c r="K11" s="2"/>
      <c r="L11" s="2">
        <v>1</v>
      </c>
      <c r="M11" s="2">
        <v>33</v>
      </c>
      <c r="N11" s="2">
        <v>42</v>
      </c>
      <c r="O11" s="2">
        <v>17</v>
      </c>
      <c r="P11" s="2">
        <v>5</v>
      </c>
      <c r="Q11" s="2"/>
    </row>
    <row r="12" spans="1:17" ht="12.75">
      <c r="A12" s="30" t="s">
        <v>62</v>
      </c>
      <c r="B12" s="21">
        <v>123</v>
      </c>
      <c r="C12" s="21">
        <v>79</v>
      </c>
      <c r="D12" s="1">
        <f t="shared" si="1"/>
        <v>202</v>
      </c>
      <c r="E12" s="32">
        <f>(D12*100000)/200404</f>
        <v>100.79639128959502</v>
      </c>
      <c r="F12" s="11">
        <f>G12+H12+I12+J12+K12+M12+N12+O12+P12+Q12</f>
        <v>202</v>
      </c>
      <c r="G12" s="2">
        <v>2</v>
      </c>
      <c r="H12" s="2"/>
      <c r="I12" s="2">
        <v>1</v>
      </c>
      <c r="J12" s="2"/>
      <c r="K12" s="2"/>
      <c r="L12" s="2"/>
      <c r="M12" s="2">
        <v>65</v>
      </c>
      <c r="N12" s="2">
        <v>98</v>
      </c>
      <c r="O12" s="2">
        <v>28</v>
      </c>
      <c r="P12" s="2">
        <v>7</v>
      </c>
      <c r="Q12" s="2">
        <v>1</v>
      </c>
    </row>
    <row r="13" spans="1:17" ht="12.75">
      <c r="A13" s="30" t="s">
        <v>63</v>
      </c>
      <c r="B13" s="21">
        <v>48</v>
      </c>
      <c r="C13" s="21">
        <v>32</v>
      </c>
      <c r="D13" s="1">
        <f t="shared" si="1"/>
        <v>80</v>
      </c>
      <c r="E13" s="32">
        <f>(D13*100000)/78433</f>
        <v>101.99788354391646</v>
      </c>
      <c r="F13" s="11">
        <f t="shared" si="3"/>
        <v>80</v>
      </c>
      <c r="G13" s="2"/>
      <c r="H13" s="2"/>
      <c r="I13" s="2"/>
      <c r="J13" s="2"/>
      <c r="K13" s="2"/>
      <c r="L13" s="2"/>
      <c r="M13" s="2">
        <v>27</v>
      </c>
      <c r="N13" s="2">
        <v>34</v>
      </c>
      <c r="O13" s="2">
        <v>13</v>
      </c>
      <c r="P13" s="2">
        <v>6</v>
      </c>
      <c r="Q13" s="2"/>
    </row>
    <row r="14" spans="1:17" ht="12.75">
      <c r="A14" s="30" t="s">
        <v>64</v>
      </c>
      <c r="B14" s="21">
        <v>4</v>
      </c>
      <c r="C14" s="21">
        <v>3</v>
      </c>
      <c r="D14" s="1">
        <f t="shared" si="1"/>
        <v>7</v>
      </c>
      <c r="E14" s="32">
        <f>(D14*100000)/15865</f>
        <v>44.122281752284906</v>
      </c>
      <c r="F14" s="11">
        <f t="shared" si="3"/>
        <v>7</v>
      </c>
      <c r="G14" s="2"/>
      <c r="H14" s="2"/>
      <c r="I14" s="2"/>
      <c r="J14" s="2"/>
      <c r="K14" s="2"/>
      <c r="L14" s="2"/>
      <c r="M14" s="2">
        <v>3</v>
      </c>
      <c r="N14" s="2">
        <v>4</v>
      </c>
      <c r="O14" s="2"/>
      <c r="P14" s="2"/>
      <c r="Q14" s="2"/>
    </row>
    <row r="15" spans="1:17" ht="12.75">
      <c r="A15" s="30" t="s">
        <v>65</v>
      </c>
      <c r="B15" s="21">
        <v>34</v>
      </c>
      <c r="C15" s="21">
        <v>18</v>
      </c>
      <c r="D15" s="1">
        <f t="shared" si="1"/>
        <v>52</v>
      </c>
      <c r="E15" s="32">
        <f>(D15*100000)/66159</f>
        <v>78.5985277891141</v>
      </c>
      <c r="F15" s="11">
        <f t="shared" si="3"/>
        <v>52</v>
      </c>
      <c r="G15" s="2"/>
      <c r="H15" s="2"/>
      <c r="I15" s="2"/>
      <c r="J15" s="2"/>
      <c r="K15" s="2"/>
      <c r="L15" s="2">
        <v>1</v>
      </c>
      <c r="M15" s="2">
        <v>13</v>
      </c>
      <c r="N15" s="2">
        <v>27</v>
      </c>
      <c r="O15" s="2">
        <v>8</v>
      </c>
      <c r="P15" s="2">
        <v>3</v>
      </c>
      <c r="Q15" s="2"/>
    </row>
    <row r="16" spans="1:17" ht="12.75">
      <c r="A16" s="33" t="s">
        <v>66</v>
      </c>
      <c r="B16" s="21">
        <v>50</v>
      </c>
      <c r="C16" s="21">
        <v>25</v>
      </c>
      <c r="D16" s="1">
        <f t="shared" si="1"/>
        <v>75</v>
      </c>
      <c r="E16" s="32">
        <f>(D16*100000)/135885</f>
        <v>55.19372999227288</v>
      </c>
      <c r="F16" s="11">
        <f t="shared" si="3"/>
        <v>75</v>
      </c>
      <c r="G16" s="2"/>
      <c r="H16" s="2"/>
      <c r="I16" s="2"/>
      <c r="J16" s="2"/>
      <c r="K16" s="2"/>
      <c r="L16" s="2"/>
      <c r="M16" s="2">
        <v>16</v>
      </c>
      <c r="N16" s="2">
        <v>42</v>
      </c>
      <c r="O16" s="2">
        <v>14</v>
      </c>
      <c r="P16" s="2">
        <v>3</v>
      </c>
      <c r="Q16" s="2"/>
    </row>
    <row r="17" spans="1:17" ht="12.75">
      <c r="A17" s="30" t="s">
        <v>67</v>
      </c>
      <c r="B17" s="21">
        <v>30</v>
      </c>
      <c r="C17" s="21">
        <v>21</v>
      </c>
      <c r="D17" s="1">
        <f t="shared" si="1"/>
        <v>51</v>
      </c>
      <c r="E17" s="32">
        <f>(D17*100000)/112249</f>
        <v>45.434703204482894</v>
      </c>
      <c r="F17" s="11">
        <f t="shared" si="3"/>
        <v>51</v>
      </c>
      <c r="G17" s="2"/>
      <c r="H17" s="2"/>
      <c r="I17" s="2"/>
      <c r="J17" s="2"/>
      <c r="K17" s="2"/>
      <c r="L17" s="2"/>
      <c r="M17" s="2">
        <v>9</v>
      </c>
      <c r="N17" s="2">
        <v>30</v>
      </c>
      <c r="O17" s="2">
        <v>11</v>
      </c>
      <c r="P17" s="2">
        <v>1</v>
      </c>
      <c r="Q17" s="2"/>
    </row>
    <row r="18" spans="1:17" ht="12.75">
      <c r="A18" s="30" t="s">
        <v>68</v>
      </c>
      <c r="B18" s="21">
        <v>104</v>
      </c>
      <c r="C18" s="21">
        <v>56</v>
      </c>
      <c r="D18" s="1">
        <f t="shared" si="1"/>
        <v>160</v>
      </c>
      <c r="E18" s="32">
        <f>(D18*100000)/154593</f>
        <v>103.49757104137963</v>
      </c>
      <c r="F18" s="11">
        <f>G18+H18+I18+J18+K18++L18+M18+N18+O18+P18+Q18</f>
        <v>160</v>
      </c>
      <c r="G18" s="2">
        <v>2</v>
      </c>
      <c r="H18" s="2"/>
      <c r="I18" s="2"/>
      <c r="J18" s="2"/>
      <c r="K18" s="2">
        <v>1</v>
      </c>
      <c r="L18" s="2">
        <v>1</v>
      </c>
      <c r="M18" s="2">
        <v>38</v>
      </c>
      <c r="N18" s="2">
        <v>78</v>
      </c>
      <c r="O18" s="2">
        <v>27</v>
      </c>
      <c r="P18" s="2">
        <v>10</v>
      </c>
      <c r="Q18" s="2">
        <v>3</v>
      </c>
    </row>
    <row r="19" spans="1:17" ht="12.75">
      <c r="A19" s="30" t="s">
        <v>69</v>
      </c>
      <c r="B19" s="21">
        <v>13</v>
      </c>
      <c r="C19" s="21">
        <v>12</v>
      </c>
      <c r="D19" s="1">
        <f t="shared" si="1"/>
        <v>25</v>
      </c>
      <c r="E19" s="32">
        <f>(D19*100000)/63603</f>
        <v>39.30632202883512</v>
      </c>
      <c r="F19" s="11">
        <f t="shared" si="3"/>
        <v>25</v>
      </c>
      <c r="G19" s="2"/>
      <c r="H19" s="2"/>
      <c r="I19" s="2"/>
      <c r="J19" s="2"/>
      <c r="K19" s="2"/>
      <c r="L19" s="2"/>
      <c r="M19" s="2">
        <v>8</v>
      </c>
      <c r="N19" s="2">
        <v>9</v>
      </c>
      <c r="O19" s="2">
        <v>4</v>
      </c>
      <c r="P19" s="2">
        <v>3</v>
      </c>
      <c r="Q19" s="2">
        <v>1</v>
      </c>
    </row>
    <row r="20" spans="1:17" ht="12.75">
      <c r="A20" s="30" t="s">
        <v>70</v>
      </c>
      <c r="B20" s="21">
        <v>143</v>
      </c>
      <c r="C20" s="21">
        <v>81</v>
      </c>
      <c r="D20" s="1">
        <f t="shared" si="1"/>
        <v>224</v>
      </c>
      <c r="E20" s="32">
        <f>(D20*100000)/277048</f>
        <v>80.85241546591205</v>
      </c>
      <c r="F20" s="11">
        <f>G20+H20+I20+J20+K20+L20+M20+N20+O20+P20+Q20</f>
        <v>224</v>
      </c>
      <c r="G20" s="2">
        <v>2</v>
      </c>
      <c r="H20" s="2"/>
      <c r="I20" s="2"/>
      <c r="J20" s="2"/>
      <c r="K20" s="2"/>
      <c r="L20" s="2">
        <v>1</v>
      </c>
      <c r="M20" s="2">
        <v>71</v>
      </c>
      <c r="N20" s="2">
        <v>115</v>
      </c>
      <c r="O20" s="2">
        <v>28</v>
      </c>
      <c r="P20" s="2">
        <v>7</v>
      </c>
      <c r="Q20" s="2"/>
    </row>
    <row r="21" spans="1:17" ht="12.75">
      <c r="A21" s="34" t="s">
        <v>89</v>
      </c>
      <c r="B21" s="35">
        <f>B6+B14+B15+B16+B17+B18+B19+B20</f>
        <v>912</v>
      </c>
      <c r="C21" s="35">
        <f>C6+C14+C15+C16+C17+C18+C19+C20</f>
        <v>528</v>
      </c>
      <c r="D21" s="27">
        <f t="shared" si="1"/>
        <v>1440</v>
      </c>
      <c r="E21" s="36">
        <f>(D21*100)/1932037</f>
        <v>0.0745327341039535</v>
      </c>
      <c r="F21" s="11">
        <f>F6+F14+F15+F16+F17+F18+F19+F20</f>
        <v>1440</v>
      </c>
      <c r="G21" s="11">
        <f aca="true" t="shared" si="4" ref="G21:Q21">G6+G14+G15+G16+G17+G18+G19+G20</f>
        <v>11</v>
      </c>
      <c r="H21" s="11">
        <f t="shared" si="4"/>
        <v>0</v>
      </c>
      <c r="I21" s="11">
        <f t="shared" si="4"/>
        <v>2</v>
      </c>
      <c r="J21" s="11">
        <f t="shared" si="4"/>
        <v>0</v>
      </c>
      <c r="K21" s="11">
        <f t="shared" si="4"/>
        <v>1</v>
      </c>
      <c r="L21" s="11">
        <f t="shared" si="4"/>
        <v>6</v>
      </c>
      <c r="M21" s="11">
        <f t="shared" si="4"/>
        <v>414</v>
      </c>
      <c r="N21" s="11">
        <f t="shared" si="4"/>
        <v>733</v>
      </c>
      <c r="O21" s="11">
        <f t="shared" si="4"/>
        <v>206</v>
      </c>
      <c r="P21" s="11">
        <f t="shared" si="4"/>
        <v>57</v>
      </c>
      <c r="Q21" s="11">
        <f t="shared" si="4"/>
        <v>10</v>
      </c>
    </row>
    <row r="22" spans="1:17" ht="12.75">
      <c r="A22" s="30" t="s">
        <v>0</v>
      </c>
      <c r="B22" s="31">
        <v>8</v>
      </c>
      <c r="C22" s="31">
        <v>5</v>
      </c>
      <c r="D22" s="1">
        <f t="shared" si="1"/>
        <v>13</v>
      </c>
      <c r="E22" s="32">
        <f>(D22*100000)/45042</f>
        <v>28.86195106789219</v>
      </c>
      <c r="F22" s="11">
        <f t="shared" si="3"/>
        <v>13</v>
      </c>
      <c r="G22" s="2"/>
      <c r="H22" s="2"/>
      <c r="I22" s="2"/>
      <c r="J22" s="2"/>
      <c r="K22" s="2"/>
      <c r="L22" s="2"/>
      <c r="M22" s="2">
        <v>4</v>
      </c>
      <c r="N22" s="2">
        <v>5</v>
      </c>
      <c r="O22" s="2">
        <v>2</v>
      </c>
      <c r="P22" s="2">
        <v>1</v>
      </c>
      <c r="Q22" s="2">
        <v>1</v>
      </c>
    </row>
    <row r="23" spans="1:17" ht="12.75">
      <c r="A23" s="30" t="s">
        <v>6</v>
      </c>
      <c r="B23" s="21">
        <v>3</v>
      </c>
      <c r="C23" s="21">
        <v>2</v>
      </c>
      <c r="D23" s="1">
        <f t="shared" si="1"/>
        <v>5</v>
      </c>
      <c r="E23" s="32">
        <f>(D23*100000)/40747</f>
        <v>12.270842025179768</v>
      </c>
      <c r="F23" s="11">
        <f t="shared" si="3"/>
        <v>5</v>
      </c>
      <c r="G23" s="2"/>
      <c r="H23" s="2"/>
      <c r="I23" s="2"/>
      <c r="J23" s="2"/>
      <c r="K23" s="2"/>
      <c r="L23" s="2"/>
      <c r="M23" s="2">
        <v>2</v>
      </c>
      <c r="N23" s="2">
        <v>2</v>
      </c>
      <c r="O23" s="2">
        <v>1</v>
      </c>
      <c r="P23" s="2"/>
      <c r="Q23" s="2"/>
    </row>
    <row r="24" spans="1:17" ht="12.75">
      <c r="A24" s="30" t="s">
        <v>24</v>
      </c>
      <c r="B24" s="21">
        <v>2</v>
      </c>
      <c r="C24" s="21">
        <v>1</v>
      </c>
      <c r="D24" s="1">
        <f t="shared" si="1"/>
        <v>3</v>
      </c>
      <c r="E24" s="32">
        <f>(D24*100000)/18019</f>
        <v>16.649092624451967</v>
      </c>
      <c r="F24" s="11">
        <f t="shared" si="3"/>
        <v>3</v>
      </c>
      <c r="G24" s="2"/>
      <c r="H24" s="2"/>
      <c r="I24" s="2"/>
      <c r="J24" s="2"/>
      <c r="K24" s="2"/>
      <c r="L24" s="2"/>
      <c r="M24" s="2">
        <v>1</v>
      </c>
      <c r="N24" s="2">
        <v>2</v>
      </c>
      <c r="O24" s="2"/>
      <c r="P24" s="2"/>
      <c r="Q24" s="2"/>
    </row>
    <row r="25" spans="1:17" ht="12.75">
      <c r="A25" s="37" t="s">
        <v>1</v>
      </c>
      <c r="B25" s="38">
        <v>2</v>
      </c>
      <c r="C25" s="38"/>
      <c r="D25" s="1">
        <f t="shared" si="1"/>
        <v>2</v>
      </c>
      <c r="E25" s="32">
        <f>(D25*100000)/19581</f>
        <v>10.213982942648485</v>
      </c>
      <c r="F25" s="11">
        <f t="shared" si="3"/>
        <v>2</v>
      </c>
      <c r="G25" s="2"/>
      <c r="H25" s="2"/>
      <c r="I25" s="2"/>
      <c r="J25" s="2"/>
      <c r="K25" s="2"/>
      <c r="L25" s="2"/>
      <c r="M25" s="2">
        <v>1</v>
      </c>
      <c r="N25" s="2">
        <v>1</v>
      </c>
      <c r="O25" s="2"/>
      <c r="P25" s="2"/>
      <c r="Q25" s="2"/>
    </row>
    <row r="26" spans="1:17" ht="12.75">
      <c r="A26" s="30" t="s">
        <v>25</v>
      </c>
      <c r="B26" s="21">
        <v>7</v>
      </c>
      <c r="C26" s="21">
        <v>3</v>
      </c>
      <c r="D26" s="1">
        <f t="shared" si="1"/>
        <v>10</v>
      </c>
      <c r="E26" s="32">
        <f>(D26*100000)/35035</f>
        <v>28.542885685742828</v>
      </c>
      <c r="F26" s="11">
        <f t="shared" si="3"/>
        <v>10</v>
      </c>
      <c r="G26" s="2"/>
      <c r="H26" s="2"/>
      <c r="I26" s="2"/>
      <c r="J26" s="2"/>
      <c r="K26" s="2"/>
      <c r="L26" s="2"/>
      <c r="M26" s="2">
        <v>5</v>
      </c>
      <c r="N26" s="2">
        <v>4</v>
      </c>
      <c r="O26" s="2">
        <v>1</v>
      </c>
      <c r="P26" s="2"/>
      <c r="Q26" s="2"/>
    </row>
    <row r="27" spans="1:17" ht="12.75">
      <c r="A27" s="30" t="s">
        <v>71</v>
      </c>
      <c r="B27" s="21">
        <v>15</v>
      </c>
      <c r="C27" s="21">
        <v>10</v>
      </c>
      <c r="D27" s="1">
        <f t="shared" si="1"/>
        <v>25</v>
      </c>
      <c r="E27" s="32">
        <f>(D27*100000)/57283</f>
        <v>43.64296562680027</v>
      </c>
      <c r="F27" s="11">
        <f t="shared" si="3"/>
        <v>25</v>
      </c>
      <c r="G27" s="2"/>
      <c r="H27" s="2"/>
      <c r="I27" s="2"/>
      <c r="J27" s="2"/>
      <c r="K27" s="2"/>
      <c r="L27" s="2"/>
      <c r="M27" s="2">
        <v>10</v>
      </c>
      <c r="N27" s="2">
        <v>9</v>
      </c>
      <c r="O27" s="2">
        <v>2</v>
      </c>
      <c r="P27" s="2">
        <v>4</v>
      </c>
      <c r="Q27" s="2"/>
    </row>
    <row r="28" spans="1:17" ht="12.75">
      <c r="A28" s="30" t="s">
        <v>3</v>
      </c>
      <c r="B28" s="21">
        <v>2</v>
      </c>
      <c r="C28" s="21">
        <v>2</v>
      </c>
      <c r="D28" s="1">
        <f t="shared" si="1"/>
        <v>4</v>
      </c>
      <c r="E28" s="32">
        <f>(D28*100000)/27609</f>
        <v>14.488029265819117</v>
      </c>
      <c r="F28" s="11">
        <f t="shared" si="3"/>
        <v>4</v>
      </c>
      <c r="G28" s="2"/>
      <c r="H28" s="2"/>
      <c r="I28" s="2"/>
      <c r="J28" s="2"/>
      <c r="K28" s="2"/>
      <c r="L28" s="2"/>
      <c r="M28" s="2">
        <v>1</v>
      </c>
      <c r="N28" s="2"/>
      <c r="O28" s="2">
        <v>3</v>
      </c>
      <c r="P28" s="2"/>
      <c r="Q28" s="2"/>
    </row>
    <row r="29" spans="1:17" ht="12.75">
      <c r="A29" s="30" t="s">
        <v>4</v>
      </c>
      <c r="B29" s="21">
        <v>4</v>
      </c>
      <c r="C29" s="21">
        <v>1</v>
      </c>
      <c r="D29" s="1">
        <f t="shared" si="1"/>
        <v>5</v>
      </c>
      <c r="E29" s="32">
        <f>(D29*100000)/19791</f>
        <v>25.26400889293113</v>
      </c>
      <c r="F29" s="11">
        <f t="shared" si="3"/>
        <v>5</v>
      </c>
      <c r="G29" s="2"/>
      <c r="H29" s="2"/>
      <c r="I29" s="2"/>
      <c r="J29" s="2"/>
      <c r="K29" s="2"/>
      <c r="L29" s="2"/>
      <c r="M29" s="2">
        <v>2</v>
      </c>
      <c r="N29" s="2">
        <v>3</v>
      </c>
      <c r="O29" s="2"/>
      <c r="P29" s="2"/>
      <c r="Q29" s="2"/>
    </row>
    <row r="30" spans="1:17" ht="12.75">
      <c r="A30" s="30" t="s">
        <v>72</v>
      </c>
      <c r="B30" s="21">
        <v>23</v>
      </c>
      <c r="C30" s="21">
        <v>18</v>
      </c>
      <c r="D30" s="1">
        <f t="shared" si="1"/>
        <v>41</v>
      </c>
      <c r="E30" s="32">
        <f>(D30*100000)/99320</f>
        <v>41.280708819975835</v>
      </c>
      <c r="F30" s="11">
        <f t="shared" si="3"/>
        <v>41</v>
      </c>
      <c r="G30" s="2"/>
      <c r="H30" s="2"/>
      <c r="I30" s="2">
        <v>1</v>
      </c>
      <c r="J30" s="2">
        <v>1</v>
      </c>
      <c r="K30" s="2"/>
      <c r="L30" s="2"/>
      <c r="M30" s="2">
        <v>13</v>
      </c>
      <c r="N30" s="2">
        <v>17</v>
      </c>
      <c r="O30" s="2">
        <v>6</v>
      </c>
      <c r="P30" s="2">
        <v>2</v>
      </c>
      <c r="Q30" s="2">
        <v>1</v>
      </c>
    </row>
    <row r="31" spans="1:17" ht="12.75">
      <c r="A31" s="30" t="s">
        <v>73</v>
      </c>
      <c r="B31" s="21">
        <v>27</v>
      </c>
      <c r="C31" s="21">
        <v>24</v>
      </c>
      <c r="D31" s="1">
        <f t="shared" si="1"/>
        <v>51</v>
      </c>
      <c r="E31" s="32">
        <f>(D31*100000)/104401</f>
        <v>48.850106799743294</v>
      </c>
      <c r="F31" s="11">
        <f t="shared" si="3"/>
        <v>51</v>
      </c>
      <c r="G31" s="2">
        <v>1</v>
      </c>
      <c r="H31" s="2"/>
      <c r="I31" s="2"/>
      <c r="J31" s="2">
        <v>1</v>
      </c>
      <c r="K31" s="2"/>
      <c r="L31" s="2"/>
      <c r="M31" s="2">
        <v>16</v>
      </c>
      <c r="N31" s="2">
        <v>19</v>
      </c>
      <c r="O31" s="2">
        <v>10</v>
      </c>
      <c r="P31" s="2">
        <v>4</v>
      </c>
      <c r="Q31" s="2"/>
    </row>
    <row r="32" spans="1:17" ht="12.75">
      <c r="A32" s="30" t="s">
        <v>26</v>
      </c>
      <c r="B32" s="21">
        <v>3</v>
      </c>
      <c r="C32" s="21">
        <v>2</v>
      </c>
      <c r="D32" s="1">
        <f t="shared" si="1"/>
        <v>5</v>
      </c>
      <c r="E32" s="32">
        <f>(D32*100000)/19079</f>
        <v>26.206824257036534</v>
      </c>
      <c r="F32" s="11">
        <f t="shared" si="3"/>
        <v>5</v>
      </c>
      <c r="G32" s="2"/>
      <c r="H32" s="2"/>
      <c r="I32" s="2"/>
      <c r="J32" s="2"/>
      <c r="K32" s="2"/>
      <c r="L32" s="2"/>
      <c r="M32" s="2">
        <v>3</v>
      </c>
      <c r="N32" s="2">
        <v>2</v>
      </c>
      <c r="O32" s="2"/>
      <c r="P32" s="2"/>
      <c r="Q32" s="2"/>
    </row>
    <row r="33" spans="1:17" ht="12.75">
      <c r="A33" s="30" t="s">
        <v>2</v>
      </c>
      <c r="B33" s="21">
        <v>2</v>
      </c>
      <c r="C33" s="21">
        <v>2</v>
      </c>
      <c r="D33" s="1">
        <f t="shared" si="1"/>
        <v>4</v>
      </c>
      <c r="E33" s="32">
        <f>(D33*100000)/24124</f>
        <v>16.5809981760902</v>
      </c>
      <c r="F33" s="11">
        <f t="shared" si="3"/>
        <v>4</v>
      </c>
      <c r="G33" s="2"/>
      <c r="H33" s="2"/>
      <c r="I33" s="2"/>
      <c r="J33" s="2"/>
      <c r="K33" s="2"/>
      <c r="L33" s="2"/>
      <c r="M33" s="2">
        <v>2</v>
      </c>
      <c r="N33" s="2">
        <v>1</v>
      </c>
      <c r="O33" s="2">
        <v>1</v>
      </c>
      <c r="P33" s="2"/>
      <c r="Q33" s="2"/>
    </row>
    <row r="34" spans="1:17" ht="12.75">
      <c r="A34" s="30" t="s">
        <v>74</v>
      </c>
      <c r="B34" s="21">
        <v>19</v>
      </c>
      <c r="C34" s="21">
        <v>18</v>
      </c>
      <c r="D34" s="1">
        <f t="shared" si="1"/>
        <v>37</v>
      </c>
      <c r="E34" s="32">
        <f>(D34*100000)/63699</f>
        <v>58.08568423366144</v>
      </c>
      <c r="F34" s="11">
        <f t="shared" si="3"/>
        <v>37</v>
      </c>
      <c r="G34" s="2"/>
      <c r="H34" s="2"/>
      <c r="I34" s="2"/>
      <c r="J34" s="2"/>
      <c r="K34" s="2"/>
      <c r="L34" s="2"/>
      <c r="M34" s="2">
        <v>10</v>
      </c>
      <c r="N34" s="2">
        <v>19</v>
      </c>
      <c r="O34" s="2">
        <v>8</v>
      </c>
      <c r="P34" s="2"/>
      <c r="Q34" s="2"/>
    </row>
    <row r="35" spans="1:17" ht="12.75">
      <c r="A35" s="30" t="s">
        <v>27</v>
      </c>
      <c r="B35" s="21">
        <v>2</v>
      </c>
      <c r="C35" s="21">
        <v>2</v>
      </c>
      <c r="D35" s="1">
        <f t="shared" si="1"/>
        <v>4</v>
      </c>
      <c r="E35" s="32">
        <f>(D35*100000)/25683</f>
        <v>15.574504536074446</v>
      </c>
      <c r="F35" s="11">
        <f t="shared" si="3"/>
        <v>4</v>
      </c>
      <c r="G35" s="2"/>
      <c r="H35" s="2"/>
      <c r="I35" s="2"/>
      <c r="J35" s="2"/>
      <c r="K35" s="2"/>
      <c r="L35" s="2"/>
      <c r="M35" s="2">
        <v>1</v>
      </c>
      <c r="N35" s="2">
        <v>3</v>
      </c>
      <c r="O35" s="2"/>
      <c r="P35" s="2"/>
      <c r="Q35" s="2"/>
    </row>
    <row r="36" spans="1:17" ht="12.75">
      <c r="A36" s="30" t="s">
        <v>75</v>
      </c>
      <c r="B36" s="21">
        <v>12</v>
      </c>
      <c r="C36" s="21">
        <v>11</v>
      </c>
      <c r="D36" s="1">
        <f t="shared" si="1"/>
        <v>23</v>
      </c>
      <c r="E36" s="32">
        <f>(D36*100000)/49890</f>
        <v>46.10142313088795</v>
      </c>
      <c r="F36" s="11">
        <f t="shared" si="3"/>
        <v>23</v>
      </c>
      <c r="G36" s="2"/>
      <c r="H36" s="2"/>
      <c r="I36" s="2"/>
      <c r="J36" s="2"/>
      <c r="K36" s="2"/>
      <c r="L36" s="2"/>
      <c r="M36" s="2">
        <v>8</v>
      </c>
      <c r="N36" s="2">
        <v>14</v>
      </c>
      <c r="O36" s="2">
        <v>1</v>
      </c>
      <c r="P36" s="2"/>
      <c r="Q36" s="2"/>
    </row>
    <row r="37" spans="1:17" ht="12.75">
      <c r="A37" s="30" t="s">
        <v>28</v>
      </c>
      <c r="B37" s="21">
        <v>2</v>
      </c>
      <c r="C37" s="21">
        <v>2</v>
      </c>
      <c r="D37" s="1">
        <f t="shared" si="1"/>
        <v>4</v>
      </c>
      <c r="E37" s="32">
        <f>(D37*100000)/28817</f>
        <v>13.880695422840684</v>
      </c>
      <c r="F37" s="11">
        <f t="shared" si="3"/>
        <v>4</v>
      </c>
      <c r="G37" s="2"/>
      <c r="H37" s="2"/>
      <c r="I37" s="2"/>
      <c r="J37" s="2"/>
      <c r="K37" s="2"/>
      <c r="L37" s="2"/>
      <c r="M37" s="2">
        <v>3</v>
      </c>
      <c r="N37" s="2"/>
      <c r="O37" s="2">
        <v>1</v>
      </c>
      <c r="P37" s="2"/>
      <c r="Q37" s="2"/>
    </row>
    <row r="38" spans="1:17" ht="12.75">
      <c r="A38" s="30" t="s">
        <v>29</v>
      </c>
      <c r="B38" s="21">
        <v>3</v>
      </c>
      <c r="C38" s="21">
        <v>3</v>
      </c>
      <c r="D38" s="1">
        <f t="shared" si="1"/>
        <v>6</v>
      </c>
      <c r="E38" s="32">
        <f>(D38*100000)/23437</f>
        <v>25.600546144984428</v>
      </c>
      <c r="F38" s="11">
        <f t="shared" si="3"/>
        <v>6</v>
      </c>
      <c r="G38" s="2"/>
      <c r="H38" s="2"/>
      <c r="I38" s="2"/>
      <c r="J38" s="2"/>
      <c r="K38" s="2"/>
      <c r="L38" s="2"/>
      <c r="M38" s="2">
        <v>2</v>
      </c>
      <c r="N38" s="2"/>
      <c r="O38" s="2"/>
      <c r="P38" s="2">
        <v>4</v>
      </c>
      <c r="Q38" s="2"/>
    </row>
    <row r="39" spans="1:17" ht="12.75">
      <c r="A39" s="30" t="s">
        <v>30</v>
      </c>
      <c r="B39" s="21">
        <v>1</v>
      </c>
      <c r="C39" s="21">
        <v>2</v>
      </c>
      <c r="D39" s="1">
        <f t="shared" si="1"/>
        <v>3</v>
      </c>
      <c r="E39" s="32">
        <f>(D39*100000)/16536</f>
        <v>18.1422351233672</v>
      </c>
      <c r="F39" s="11">
        <f t="shared" si="3"/>
        <v>3</v>
      </c>
      <c r="G39" s="2"/>
      <c r="H39" s="2"/>
      <c r="I39" s="2"/>
      <c r="J39" s="2"/>
      <c r="K39" s="2"/>
      <c r="L39" s="2"/>
      <c r="M39" s="2"/>
      <c r="N39" s="2">
        <v>2</v>
      </c>
      <c r="O39" s="2"/>
      <c r="P39" s="2">
        <v>1</v>
      </c>
      <c r="Q39" s="2"/>
    </row>
    <row r="40" spans="1:17" ht="12.75">
      <c r="A40" s="30" t="s">
        <v>5</v>
      </c>
      <c r="B40" s="21">
        <v>9</v>
      </c>
      <c r="C40" s="21">
        <v>8</v>
      </c>
      <c r="D40" s="1">
        <f t="shared" si="1"/>
        <v>17</v>
      </c>
      <c r="E40" s="32">
        <f>(D40*100000)/32544</f>
        <v>52.236971484759096</v>
      </c>
      <c r="F40" s="11">
        <f t="shared" si="3"/>
        <v>17</v>
      </c>
      <c r="G40" s="2"/>
      <c r="H40" s="2"/>
      <c r="I40" s="2"/>
      <c r="J40" s="2"/>
      <c r="K40" s="2"/>
      <c r="L40" s="2"/>
      <c r="M40" s="2">
        <v>4</v>
      </c>
      <c r="N40" s="2">
        <v>7</v>
      </c>
      <c r="O40" s="2">
        <v>3</v>
      </c>
      <c r="P40" s="2">
        <v>2</v>
      </c>
      <c r="Q40" s="2">
        <v>1</v>
      </c>
    </row>
    <row r="41" spans="1:17" ht="12.75">
      <c r="A41" s="30" t="s">
        <v>76</v>
      </c>
      <c r="B41" s="21">
        <v>15</v>
      </c>
      <c r="C41" s="21">
        <v>8</v>
      </c>
      <c r="D41" s="1">
        <f t="shared" si="1"/>
        <v>23</v>
      </c>
      <c r="E41" s="32">
        <f>(D41*100000)/41238</f>
        <v>55.77380086328144</v>
      </c>
      <c r="F41" s="11">
        <f t="shared" si="3"/>
        <v>23</v>
      </c>
      <c r="G41" s="2">
        <v>1</v>
      </c>
      <c r="H41" s="2"/>
      <c r="I41" s="2"/>
      <c r="J41" s="2"/>
      <c r="K41" s="2"/>
      <c r="L41" s="2"/>
      <c r="M41" s="2">
        <v>8</v>
      </c>
      <c r="N41" s="2">
        <v>5</v>
      </c>
      <c r="O41" s="2">
        <v>6</v>
      </c>
      <c r="P41" s="2">
        <v>3</v>
      </c>
      <c r="Q41" s="2"/>
    </row>
    <row r="42" spans="1:17" ht="12.75">
      <c r="A42" s="30" t="s">
        <v>31</v>
      </c>
      <c r="B42" s="21">
        <v>1</v>
      </c>
      <c r="C42" s="21">
        <v>1</v>
      </c>
      <c r="D42" s="1">
        <f t="shared" si="1"/>
        <v>2</v>
      </c>
      <c r="E42" s="32">
        <f>(D42*100000)/30900</f>
        <v>6.472491909385114</v>
      </c>
      <c r="F42" s="11">
        <f>G42+H42+I42+J42+K42+M42+N42+O42+P42+Q42</f>
        <v>2</v>
      </c>
      <c r="G42" s="2"/>
      <c r="H42" s="2"/>
      <c r="I42" s="2"/>
      <c r="J42" s="2"/>
      <c r="K42" s="2"/>
      <c r="L42" s="2"/>
      <c r="M42" s="2">
        <v>1</v>
      </c>
      <c r="N42" s="2">
        <v>1</v>
      </c>
      <c r="O42" s="2"/>
      <c r="P42" s="2"/>
      <c r="Q42" s="2"/>
    </row>
    <row r="43" spans="1:17" ht="12.75">
      <c r="A43" s="30" t="s">
        <v>77</v>
      </c>
      <c r="B43" s="21">
        <v>9</v>
      </c>
      <c r="C43" s="21">
        <v>5</v>
      </c>
      <c r="D43" s="1">
        <f t="shared" si="1"/>
        <v>14</v>
      </c>
      <c r="E43" s="32">
        <f>(D43*100000)/63253</f>
        <v>22.133337549207152</v>
      </c>
      <c r="F43" s="11">
        <f t="shared" si="3"/>
        <v>14</v>
      </c>
      <c r="G43" s="2"/>
      <c r="H43" s="2"/>
      <c r="I43" s="2"/>
      <c r="J43" s="2"/>
      <c r="K43" s="2"/>
      <c r="L43" s="2"/>
      <c r="M43" s="2">
        <v>3</v>
      </c>
      <c r="N43" s="2">
        <v>9</v>
      </c>
      <c r="O43" s="2">
        <v>1</v>
      </c>
      <c r="P43" s="2">
        <v>1</v>
      </c>
      <c r="Q43" s="2"/>
    </row>
    <row r="44" spans="1:17" ht="12.75">
      <c r="A44" s="30" t="s">
        <v>7</v>
      </c>
      <c r="B44" s="21">
        <v>1</v>
      </c>
      <c r="C44" s="21">
        <v>2</v>
      </c>
      <c r="D44" s="1">
        <f t="shared" si="1"/>
        <v>3</v>
      </c>
      <c r="E44" s="32">
        <f>(D44*100000)/16193</f>
        <v>18.526523806583093</v>
      </c>
      <c r="F44" s="11">
        <f t="shared" si="3"/>
        <v>3</v>
      </c>
      <c r="G44" s="2"/>
      <c r="H44" s="2"/>
      <c r="I44" s="2"/>
      <c r="J44" s="2"/>
      <c r="K44" s="2"/>
      <c r="L44" s="2"/>
      <c r="M44" s="2">
        <v>2</v>
      </c>
      <c r="N44" s="2">
        <v>1</v>
      </c>
      <c r="O44" s="2"/>
      <c r="P44" s="2"/>
      <c r="Q44" s="2"/>
    </row>
    <row r="45" spans="1:17" ht="12.75">
      <c r="A45" s="30" t="s">
        <v>8</v>
      </c>
      <c r="B45" s="21">
        <v>3</v>
      </c>
      <c r="C45" s="21">
        <v>2</v>
      </c>
      <c r="D45" s="1">
        <f t="shared" si="1"/>
        <v>5</v>
      </c>
      <c r="E45" s="32">
        <f>(D45*100000)/26472</f>
        <v>18.88788153520701</v>
      </c>
      <c r="F45" s="11">
        <f t="shared" si="3"/>
        <v>5</v>
      </c>
      <c r="G45" s="1"/>
      <c r="H45" s="1"/>
      <c r="I45" s="1"/>
      <c r="J45" s="1"/>
      <c r="K45" s="1"/>
      <c r="L45" s="1"/>
      <c r="M45" s="1"/>
      <c r="N45" s="1">
        <v>2</v>
      </c>
      <c r="O45" s="1">
        <v>1</v>
      </c>
      <c r="P45" s="1">
        <v>1</v>
      </c>
      <c r="Q45" s="1">
        <v>1</v>
      </c>
    </row>
    <row r="46" spans="1:17" ht="12.75">
      <c r="A46" s="30" t="s">
        <v>9</v>
      </c>
      <c r="B46" s="21">
        <v>1</v>
      </c>
      <c r="C46" s="21">
        <v>2</v>
      </c>
      <c r="D46" s="1">
        <f t="shared" si="1"/>
        <v>3</v>
      </c>
      <c r="E46" s="32">
        <f>(D46*100000)/15478</f>
        <v>19.382349140715856</v>
      </c>
      <c r="F46" s="11">
        <f t="shared" si="3"/>
        <v>3</v>
      </c>
      <c r="G46" s="2"/>
      <c r="H46" s="2"/>
      <c r="I46" s="2"/>
      <c r="J46" s="2"/>
      <c r="K46" s="2"/>
      <c r="L46" s="2"/>
      <c r="M46" s="2">
        <v>2</v>
      </c>
      <c r="N46" s="2"/>
      <c r="O46" s="2">
        <v>1</v>
      </c>
      <c r="P46" s="2"/>
      <c r="Q46" s="2"/>
    </row>
    <row r="47" spans="1:17" ht="12.75">
      <c r="A47" s="30" t="s">
        <v>10</v>
      </c>
      <c r="B47" s="21">
        <v>21</v>
      </c>
      <c r="C47" s="21">
        <v>12</v>
      </c>
      <c r="D47" s="1">
        <f t="shared" si="1"/>
        <v>33</v>
      </c>
      <c r="E47" s="32">
        <f>(D47*100000)/53414</f>
        <v>61.78155539746134</v>
      </c>
      <c r="F47" s="11">
        <f t="shared" si="3"/>
        <v>33</v>
      </c>
      <c r="G47" s="2"/>
      <c r="H47" s="2"/>
      <c r="I47" s="2"/>
      <c r="J47" s="2"/>
      <c r="K47" s="2"/>
      <c r="L47" s="2"/>
      <c r="M47" s="2">
        <v>10</v>
      </c>
      <c r="N47" s="2">
        <v>15</v>
      </c>
      <c r="O47" s="2">
        <v>5</v>
      </c>
      <c r="P47" s="2">
        <v>1</v>
      </c>
      <c r="Q47" s="2">
        <v>2</v>
      </c>
    </row>
    <row r="48" spans="1:17" ht="12.75">
      <c r="A48" s="30" t="s">
        <v>11</v>
      </c>
      <c r="B48" s="21">
        <v>3</v>
      </c>
      <c r="C48" s="21">
        <v>3</v>
      </c>
      <c r="D48" s="1">
        <f t="shared" si="1"/>
        <v>6</v>
      </c>
      <c r="E48" s="32">
        <f>(D48*100000)/33160</f>
        <v>18.094089264173704</v>
      </c>
      <c r="F48" s="11">
        <f t="shared" si="3"/>
        <v>6</v>
      </c>
      <c r="G48" s="2"/>
      <c r="H48" s="2"/>
      <c r="I48" s="2"/>
      <c r="J48" s="2"/>
      <c r="K48" s="2"/>
      <c r="L48" s="2"/>
      <c r="M48" s="2">
        <v>2</v>
      </c>
      <c r="N48" s="2">
        <v>3</v>
      </c>
      <c r="O48" s="2">
        <v>1</v>
      </c>
      <c r="P48" s="2"/>
      <c r="Q48" s="2"/>
    </row>
    <row r="49" spans="1:17" ht="12.75">
      <c r="A49" s="30" t="s">
        <v>78</v>
      </c>
      <c r="B49" s="21">
        <v>32</v>
      </c>
      <c r="C49" s="21">
        <v>22</v>
      </c>
      <c r="D49" s="1">
        <f t="shared" si="1"/>
        <v>54</v>
      </c>
      <c r="E49" s="32">
        <f>(D49*100000)/90184</f>
        <v>59.87758360684822</v>
      </c>
      <c r="F49" s="11">
        <f t="shared" si="3"/>
        <v>54</v>
      </c>
      <c r="G49" s="1"/>
      <c r="H49" s="1"/>
      <c r="I49" s="1"/>
      <c r="J49" s="1"/>
      <c r="K49" s="1"/>
      <c r="L49" s="1"/>
      <c r="M49" s="1">
        <v>15</v>
      </c>
      <c r="N49" s="1">
        <v>28</v>
      </c>
      <c r="O49" s="1">
        <v>6</v>
      </c>
      <c r="P49" s="1">
        <v>4</v>
      </c>
      <c r="Q49" s="1">
        <v>1</v>
      </c>
    </row>
    <row r="50" spans="1:17" ht="12.75">
      <c r="A50" s="30" t="s">
        <v>32</v>
      </c>
      <c r="B50" s="21">
        <v>4</v>
      </c>
      <c r="C50" s="21">
        <v>2</v>
      </c>
      <c r="D50" s="1">
        <f t="shared" si="1"/>
        <v>6</v>
      </c>
      <c r="E50" s="32">
        <f>(D50*100000)/24725</f>
        <v>24.266936299292215</v>
      </c>
      <c r="F50" s="11">
        <f t="shared" si="3"/>
        <v>6</v>
      </c>
      <c r="G50" s="2"/>
      <c r="H50" s="2"/>
      <c r="I50" s="2"/>
      <c r="J50" s="2"/>
      <c r="K50" s="2"/>
      <c r="L50" s="2"/>
      <c r="M50" s="2">
        <v>1</v>
      </c>
      <c r="N50" s="2">
        <v>5</v>
      </c>
      <c r="O50" s="2"/>
      <c r="P50" s="2"/>
      <c r="Q50" s="2"/>
    </row>
    <row r="51" spans="1:17" ht="12.75">
      <c r="A51" s="30" t="s">
        <v>12</v>
      </c>
      <c r="B51" s="21">
        <v>3</v>
      </c>
      <c r="C51" s="21"/>
      <c r="D51" s="1">
        <f t="shared" si="1"/>
        <v>3</v>
      </c>
      <c r="E51" s="32">
        <f>(D51*100000)/26437</f>
        <v>11.347732344819761</v>
      </c>
      <c r="F51" s="11">
        <f t="shared" si="3"/>
        <v>3</v>
      </c>
      <c r="G51" s="2"/>
      <c r="H51" s="2"/>
      <c r="I51" s="2"/>
      <c r="J51" s="2"/>
      <c r="K51" s="2"/>
      <c r="L51" s="2"/>
      <c r="M51" s="2"/>
      <c r="N51" s="2">
        <v>3</v>
      </c>
      <c r="O51" s="2"/>
      <c r="P51" s="2"/>
      <c r="Q51" s="2"/>
    </row>
    <row r="52" spans="1:17" ht="12.75">
      <c r="A52" s="30" t="s">
        <v>33</v>
      </c>
      <c r="B52" s="21">
        <v>13</v>
      </c>
      <c r="C52" s="21">
        <v>6</v>
      </c>
      <c r="D52" s="1">
        <f t="shared" si="1"/>
        <v>19</v>
      </c>
      <c r="E52" s="32">
        <f>(D52*100000)/50176</f>
        <v>37.86670918367347</v>
      </c>
      <c r="F52" s="11">
        <f t="shared" si="3"/>
        <v>19</v>
      </c>
      <c r="G52" s="1"/>
      <c r="H52" s="1"/>
      <c r="I52" s="1"/>
      <c r="J52" s="1"/>
      <c r="K52" s="1"/>
      <c r="L52" s="1"/>
      <c r="M52" s="1">
        <v>4</v>
      </c>
      <c r="N52" s="1">
        <v>12</v>
      </c>
      <c r="O52" s="1">
        <v>1</v>
      </c>
      <c r="P52" s="1">
        <v>2</v>
      </c>
      <c r="Q52" s="1"/>
    </row>
    <row r="53" spans="1:17" ht="12.75">
      <c r="A53" s="30" t="s">
        <v>34</v>
      </c>
      <c r="B53" s="21">
        <v>6</v>
      </c>
      <c r="C53" s="21">
        <v>5</v>
      </c>
      <c r="D53" s="1">
        <f t="shared" si="1"/>
        <v>11</v>
      </c>
      <c r="E53" s="32">
        <f>(D53*100000)/18286</f>
        <v>60.155310073280106</v>
      </c>
      <c r="F53" s="11">
        <f t="shared" si="3"/>
        <v>11</v>
      </c>
      <c r="G53" s="2"/>
      <c r="H53" s="2"/>
      <c r="I53" s="2"/>
      <c r="J53" s="2"/>
      <c r="K53" s="2"/>
      <c r="L53" s="2"/>
      <c r="M53" s="2">
        <v>3</v>
      </c>
      <c r="N53" s="2">
        <v>3</v>
      </c>
      <c r="O53" s="2">
        <v>3</v>
      </c>
      <c r="P53" s="2">
        <v>1</v>
      </c>
      <c r="Q53" s="2">
        <v>1</v>
      </c>
    </row>
    <row r="54" spans="1:17" ht="12.75">
      <c r="A54" s="30" t="s">
        <v>13</v>
      </c>
      <c r="B54" s="21">
        <v>5</v>
      </c>
      <c r="C54" s="21">
        <v>2</v>
      </c>
      <c r="D54" s="1">
        <f t="shared" si="1"/>
        <v>7</v>
      </c>
      <c r="E54" s="32">
        <f>(D54*100000)/27743</f>
        <v>25.231589950618172</v>
      </c>
      <c r="F54" s="11">
        <f t="shared" si="3"/>
        <v>7</v>
      </c>
      <c r="G54" s="2"/>
      <c r="H54" s="2"/>
      <c r="I54" s="2"/>
      <c r="J54" s="2"/>
      <c r="K54" s="2"/>
      <c r="L54" s="2">
        <v>1</v>
      </c>
      <c r="M54" s="2">
        <v>2</v>
      </c>
      <c r="N54" s="2">
        <v>2</v>
      </c>
      <c r="O54" s="2">
        <v>1</v>
      </c>
      <c r="P54" s="2">
        <v>1</v>
      </c>
      <c r="Q54" s="2"/>
    </row>
    <row r="55" spans="1:17" ht="12.75">
      <c r="A55" s="30" t="s">
        <v>14</v>
      </c>
      <c r="B55" s="21">
        <v>11</v>
      </c>
      <c r="C55" s="21">
        <v>7</v>
      </c>
      <c r="D55" s="1">
        <f t="shared" si="1"/>
        <v>18</v>
      </c>
      <c r="E55" s="32">
        <f>(D55*100000)/29792</f>
        <v>60.41890440386681</v>
      </c>
      <c r="F55" s="11">
        <f t="shared" si="3"/>
        <v>18</v>
      </c>
      <c r="G55" s="1">
        <v>1</v>
      </c>
      <c r="H55" s="1"/>
      <c r="I55" s="1"/>
      <c r="J55" s="1"/>
      <c r="K55" s="1"/>
      <c r="L55" s="1"/>
      <c r="M55" s="1">
        <v>9</v>
      </c>
      <c r="N55" s="1">
        <v>5</v>
      </c>
      <c r="O55" s="1">
        <v>2</v>
      </c>
      <c r="P55" s="1">
        <v>1</v>
      </c>
      <c r="Q55" s="1"/>
    </row>
    <row r="56" spans="1:17" ht="12.75">
      <c r="A56" s="30" t="s">
        <v>15</v>
      </c>
      <c r="B56" s="21">
        <v>4</v>
      </c>
      <c r="C56" s="21">
        <v>3</v>
      </c>
      <c r="D56" s="1">
        <f t="shared" si="1"/>
        <v>7</v>
      </c>
      <c r="E56" s="32">
        <f>(D56*100000)/27018</f>
        <v>25.90865349026575</v>
      </c>
      <c r="F56" s="11">
        <f t="shared" si="3"/>
        <v>7</v>
      </c>
      <c r="G56" s="2"/>
      <c r="H56" s="2"/>
      <c r="I56" s="2"/>
      <c r="J56" s="2"/>
      <c r="K56" s="2"/>
      <c r="L56" s="2"/>
      <c r="M56" s="2">
        <v>5</v>
      </c>
      <c r="N56" s="2">
        <v>1</v>
      </c>
      <c r="O56" s="2">
        <v>1</v>
      </c>
      <c r="P56" s="2"/>
      <c r="Q56" s="2"/>
    </row>
    <row r="57" spans="1:17" ht="12.75">
      <c r="A57" s="30" t="s">
        <v>16</v>
      </c>
      <c r="B57" s="21">
        <v>10</v>
      </c>
      <c r="C57" s="21">
        <v>3</v>
      </c>
      <c r="D57" s="1">
        <f t="shared" si="1"/>
        <v>13</v>
      </c>
      <c r="E57" s="32">
        <f>(D57*100000)/24186</f>
        <v>53.75010336558339</v>
      </c>
      <c r="F57" s="11">
        <f t="shared" si="3"/>
        <v>13</v>
      </c>
      <c r="G57" s="2"/>
      <c r="H57" s="2"/>
      <c r="I57" s="2"/>
      <c r="J57" s="2"/>
      <c r="K57" s="2"/>
      <c r="L57" s="2"/>
      <c r="M57" s="2">
        <v>7</v>
      </c>
      <c r="N57" s="2">
        <v>4</v>
      </c>
      <c r="O57" s="2">
        <v>1</v>
      </c>
      <c r="P57" s="2">
        <v>1</v>
      </c>
      <c r="Q57" s="2"/>
    </row>
    <row r="58" spans="1:17" ht="12.75">
      <c r="A58" s="30" t="s">
        <v>79</v>
      </c>
      <c r="B58" s="21">
        <v>42</v>
      </c>
      <c r="C58" s="21">
        <v>25</v>
      </c>
      <c r="D58" s="1">
        <f t="shared" si="1"/>
        <v>67</v>
      </c>
      <c r="E58" s="32">
        <f>(D58*100000)/85714</f>
        <v>78.16692722309074</v>
      </c>
      <c r="F58" s="11">
        <f t="shared" si="3"/>
        <v>67</v>
      </c>
      <c r="G58" s="1"/>
      <c r="H58" s="1"/>
      <c r="I58" s="1"/>
      <c r="J58" s="1">
        <v>1</v>
      </c>
      <c r="K58" s="1"/>
      <c r="L58" s="1"/>
      <c r="M58" s="1">
        <v>21</v>
      </c>
      <c r="N58" s="1">
        <v>31</v>
      </c>
      <c r="O58" s="1">
        <v>11</v>
      </c>
      <c r="P58" s="1">
        <v>2</v>
      </c>
      <c r="Q58" s="1">
        <v>1</v>
      </c>
    </row>
    <row r="59" spans="1:17" ht="12.75">
      <c r="A59" s="30" t="s">
        <v>35</v>
      </c>
      <c r="B59" s="21">
        <v>5</v>
      </c>
      <c r="C59" s="21">
        <v>3</v>
      </c>
      <c r="D59" s="1">
        <f t="shared" si="1"/>
        <v>8</v>
      </c>
      <c r="E59" s="32">
        <f>(D59*100000)/24160</f>
        <v>33.11258278145695</v>
      </c>
      <c r="F59" s="11">
        <f t="shared" si="3"/>
        <v>8</v>
      </c>
      <c r="G59" s="2">
        <v>1</v>
      </c>
      <c r="H59" s="2"/>
      <c r="I59" s="2"/>
      <c r="J59" s="2"/>
      <c r="K59" s="2"/>
      <c r="L59" s="2"/>
      <c r="M59" s="2">
        <v>2</v>
      </c>
      <c r="N59" s="2">
        <v>4</v>
      </c>
      <c r="O59" s="2"/>
      <c r="P59" s="2">
        <v>1</v>
      </c>
      <c r="Q59" s="2"/>
    </row>
    <row r="60" spans="1:17" ht="12.75">
      <c r="A60" s="30" t="s">
        <v>17</v>
      </c>
      <c r="B60" s="21">
        <v>3</v>
      </c>
      <c r="C60" s="21">
        <v>6</v>
      </c>
      <c r="D60" s="1">
        <f t="shared" si="1"/>
        <v>9</v>
      </c>
      <c r="E60" s="32">
        <f>(D60*100000)/24179</f>
        <v>37.222383059679885</v>
      </c>
      <c r="F60" s="11">
        <f t="shared" si="3"/>
        <v>9</v>
      </c>
      <c r="G60" s="2">
        <v>1</v>
      </c>
      <c r="H60" s="2"/>
      <c r="I60" s="2"/>
      <c r="J60" s="2"/>
      <c r="K60" s="2"/>
      <c r="L60" s="2"/>
      <c r="M60" s="2">
        <v>2</v>
      </c>
      <c r="N60" s="2">
        <v>4</v>
      </c>
      <c r="O60" s="2">
        <v>1</v>
      </c>
      <c r="P60" s="2">
        <v>1</v>
      </c>
      <c r="Q60" s="2"/>
    </row>
    <row r="61" spans="1:17" ht="12.75">
      <c r="A61" s="30" t="s">
        <v>36</v>
      </c>
      <c r="B61" s="21">
        <v>6</v>
      </c>
      <c r="C61" s="21"/>
      <c r="D61" s="1">
        <f t="shared" si="1"/>
        <v>6</v>
      </c>
      <c r="E61" s="32">
        <f>(D61*100000)/26636</f>
        <v>22.525904790509085</v>
      </c>
      <c r="F61" s="11">
        <f t="shared" si="3"/>
        <v>6</v>
      </c>
      <c r="G61" s="1"/>
      <c r="H61" s="1"/>
      <c r="I61" s="1"/>
      <c r="J61" s="1"/>
      <c r="K61" s="1"/>
      <c r="L61" s="1"/>
      <c r="M61" s="1">
        <v>3</v>
      </c>
      <c r="N61" s="1">
        <v>2</v>
      </c>
      <c r="O61" s="1"/>
      <c r="P61" s="1">
        <v>1</v>
      </c>
      <c r="Q61" s="1"/>
    </row>
    <row r="62" spans="1:17" ht="12.75">
      <c r="A62" s="30" t="s">
        <v>37</v>
      </c>
      <c r="B62" s="21">
        <v>6</v>
      </c>
      <c r="C62" s="21">
        <v>4</v>
      </c>
      <c r="D62" s="1">
        <f t="shared" si="1"/>
        <v>10</v>
      </c>
      <c r="E62" s="32">
        <f>(D62*100000)/20620</f>
        <v>48.49660523763337</v>
      </c>
      <c r="F62" s="11">
        <f t="shared" si="3"/>
        <v>10</v>
      </c>
      <c r="G62" s="2"/>
      <c r="H62" s="2"/>
      <c r="I62" s="2"/>
      <c r="J62" s="2"/>
      <c r="K62" s="2"/>
      <c r="L62" s="2"/>
      <c r="M62" s="2">
        <v>3</v>
      </c>
      <c r="N62" s="2">
        <v>5</v>
      </c>
      <c r="O62" s="2">
        <v>2</v>
      </c>
      <c r="P62" s="2"/>
      <c r="Q62" s="2"/>
    </row>
    <row r="63" spans="1:17" ht="12.75">
      <c r="A63" s="30" t="s">
        <v>18</v>
      </c>
      <c r="B63" s="21">
        <v>5</v>
      </c>
      <c r="C63" s="21"/>
      <c r="D63" s="1">
        <f t="shared" si="1"/>
        <v>5</v>
      </c>
      <c r="E63" s="32">
        <f>(D63*100000)/24987</f>
        <v>20.010405410813622</v>
      </c>
      <c r="F63" s="11">
        <f t="shared" si="3"/>
        <v>5</v>
      </c>
      <c r="G63" s="2"/>
      <c r="H63" s="2"/>
      <c r="I63" s="2"/>
      <c r="J63" s="2"/>
      <c r="K63" s="2"/>
      <c r="L63" s="2"/>
      <c r="M63" s="2">
        <v>4</v>
      </c>
      <c r="N63" s="2">
        <v>1</v>
      </c>
      <c r="O63" s="2"/>
      <c r="P63" s="2"/>
      <c r="Q63" s="2"/>
    </row>
    <row r="64" spans="1:17" ht="12.75">
      <c r="A64" s="30" t="s">
        <v>38</v>
      </c>
      <c r="B64" s="21">
        <v>6</v>
      </c>
      <c r="C64" s="21">
        <v>2</v>
      </c>
      <c r="D64" s="1">
        <f t="shared" si="1"/>
        <v>8</v>
      </c>
      <c r="E64" s="32">
        <f>(D64*100000)/19115</f>
        <v>41.8519487313628</v>
      </c>
      <c r="F64" s="11">
        <f t="shared" si="3"/>
        <v>8</v>
      </c>
      <c r="G64" s="1"/>
      <c r="H64" s="1"/>
      <c r="I64" s="1"/>
      <c r="J64" s="1"/>
      <c r="K64" s="1"/>
      <c r="L64" s="1"/>
      <c r="M64" s="1">
        <v>2</v>
      </c>
      <c r="N64" s="1">
        <v>4</v>
      </c>
      <c r="O64" s="1">
        <v>2</v>
      </c>
      <c r="P64" s="1"/>
      <c r="Q64" s="1"/>
    </row>
    <row r="65" spans="1:17" ht="12.75">
      <c r="A65" s="30" t="s">
        <v>39</v>
      </c>
      <c r="B65" s="21">
        <v>8</v>
      </c>
      <c r="C65" s="21">
        <v>11</v>
      </c>
      <c r="D65" s="1">
        <f t="shared" si="1"/>
        <v>19</v>
      </c>
      <c r="E65" s="32">
        <f>(D65*100000)/41411</f>
        <v>45.881529062326436</v>
      </c>
      <c r="F65" s="11">
        <f t="shared" si="3"/>
        <v>19</v>
      </c>
      <c r="G65" s="2"/>
      <c r="H65" s="2"/>
      <c r="I65" s="2"/>
      <c r="J65" s="2"/>
      <c r="K65" s="2"/>
      <c r="L65" s="2"/>
      <c r="M65" s="2">
        <v>10</v>
      </c>
      <c r="N65" s="2">
        <v>6</v>
      </c>
      <c r="O65" s="2">
        <v>3</v>
      </c>
      <c r="P65" s="2"/>
      <c r="Q65" s="2"/>
    </row>
    <row r="66" spans="1:17" ht="12.75">
      <c r="A66" s="30" t="s">
        <v>19</v>
      </c>
      <c r="B66" s="21">
        <v>6</v>
      </c>
      <c r="C66" s="21">
        <v>3</v>
      </c>
      <c r="D66" s="1">
        <f t="shared" si="1"/>
        <v>9</v>
      </c>
      <c r="E66" s="32">
        <f>(D66*100000)/24152</f>
        <v>37.26399470023186</v>
      </c>
      <c r="F66" s="11">
        <f t="shared" si="3"/>
        <v>9</v>
      </c>
      <c r="G66" s="2"/>
      <c r="H66" s="2"/>
      <c r="I66" s="2">
        <v>1</v>
      </c>
      <c r="J66" s="2"/>
      <c r="K66" s="2"/>
      <c r="L66" s="2"/>
      <c r="M66" s="2">
        <v>1</v>
      </c>
      <c r="N66" s="2">
        <v>5</v>
      </c>
      <c r="O66" s="2">
        <v>2</v>
      </c>
      <c r="P66" s="2"/>
      <c r="Q66" s="2"/>
    </row>
    <row r="67" spans="1:17" ht="12.75">
      <c r="A67" s="30" t="s">
        <v>80</v>
      </c>
      <c r="B67" s="21">
        <v>29</v>
      </c>
      <c r="C67" s="21">
        <v>17</v>
      </c>
      <c r="D67" s="1">
        <f t="shared" si="1"/>
        <v>46</v>
      </c>
      <c r="E67" s="32">
        <f>(D67*100000)/132053</f>
        <v>34.83449826963416</v>
      </c>
      <c r="F67" s="11">
        <f t="shared" si="3"/>
        <v>46</v>
      </c>
      <c r="G67" s="1">
        <v>1</v>
      </c>
      <c r="H67" s="1"/>
      <c r="I67" s="1"/>
      <c r="J67" s="1"/>
      <c r="K67" s="1"/>
      <c r="L67" s="1"/>
      <c r="M67" s="1">
        <v>8</v>
      </c>
      <c r="N67" s="1">
        <v>25</v>
      </c>
      <c r="O67" s="1">
        <v>11</v>
      </c>
      <c r="P67" s="1"/>
      <c r="Q67" s="1">
        <v>1</v>
      </c>
    </row>
    <row r="68" spans="1:17" ht="12.75">
      <c r="A68" s="30" t="s">
        <v>23</v>
      </c>
      <c r="B68" s="21">
        <v>28</v>
      </c>
      <c r="C68" s="21">
        <v>30</v>
      </c>
      <c r="D68" s="1">
        <f t="shared" si="1"/>
        <v>58</v>
      </c>
      <c r="E68" s="32">
        <f>(D68*100000)/75816</f>
        <v>76.50100242692835</v>
      </c>
      <c r="F68" s="11">
        <f t="shared" si="3"/>
        <v>58</v>
      </c>
      <c r="G68" s="2"/>
      <c r="H68" s="2"/>
      <c r="I68" s="2"/>
      <c r="J68" s="2"/>
      <c r="K68" s="2"/>
      <c r="L68" s="2">
        <v>1</v>
      </c>
      <c r="M68" s="2">
        <v>22</v>
      </c>
      <c r="N68" s="2">
        <v>24</v>
      </c>
      <c r="O68" s="2">
        <v>4</v>
      </c>
      <c r="P68" s="2">
        <v>6</v>
      </c>
      <c r="Q68" s="2">
        <v>1</v>
      </c>
    </row>
    <row r="69" spans="1:17" ht="12.75">
      <c r="A69" s="30" t="s">
        <v>81</v>
      </c>
      <c r="B69" s="21">
        <v>4</v>
      </c>
      <c r="C69" s="21">
        <v>9</v>
      </c>
      <c r="D69" s="1">
        <f t="shared" si="1"/>
        <v>13</v>
      </c>
      <c r="E69" s="32">
        <f>(D69*100000)/72663</f>
        <v>17.890811004224982</v>
      </c>
      <c r="F69" s="11">
        <f t="shared" si="3"/>
        <v>13</v>
      </c>
      <c r="G69" s="2"/>
      <c r="H69" s="2"/>
      <c r="I69" s="2"/>
      <c r="J69" s="2"/>
      <c r="K69" s="2"/>
      <c r="L69" s="2"/>
      <c r="M69" s="2">
        <v>9</v>
      </c>
      <c r="N69" s="2">
        <v>4</v>
      </c>
      <c r="O69" s="2"/>
      <c r="P69" s="2"/>
      <c r="Q69" s="2"/>
    </row>
    <row r="70" spans="1:17" ht="12.75">
      <c r="A70" s="30" t="s">
        <v>20</v>
      </c>
      <c r="B70" s="21">
        <v>3</v>
      </c>
      <c r="C70" s="21">
        <v>4</v>
      </c>
      <c r="D70" s="1">
        <f aca="true" t="shared" si="5" ref="D70:D81">B70+C70</f>
        <v>7</v>
      </c>
      <c r="E70" s="32">
        <f>(D70*100000)/17990</f>
        <v>38.91050583657587</v>
      </c>
      <c r="F70" s="11">
        <f t="shared" si="3"/>
        <v>7</v>
      </c>
      <c r="G70" s="1"/>
      <c r="H70" s="1"/>
      <c r="I70" s="1"/>
      <c r="J70" s="1"/>
      <c r="K70" s="1"/>
      <c r="L70" s="1"/>
      <c r="M70" s="1">
        <v>4</v>
      </c>
      <c r="N70" s="1">
        <v>1</v>
      </c>
      <c r="O70" s="1">
        <v>2</v>
      </c>
      <c r="P70" s="1"/>
      <c r="Q70" s="1"/>
    </row>
    <row r="71" spans="1:17" ht="12.75">
      <c r="A71" s="30" t="s">
        <v>21</v>
      </c>
      <c r="B71" s="21">
        <v>4</v>
      </c>
      <c r="C71" s="21">
        <v>3</v>
      </c>
      <c r="D71" s="1">
        <f t="shared" si="5"/>
        <v>7</v>
      </c>
      <c r="E71" s="32">
        <f>(D71*100000)/32176</f>
        <v>21.755345599204375</v>
      </c>
      <c r="F71" s="11">
        <f aca="true" t="shared" si="6" ref="F71:F79">G71+H71+I71+J71+K71+L71+M71+N71+O71+P71+Q71</f>
        <v>7</v>
      </c>
      <c r="G71" s="2"/>
      <c r="H71" s="2"/>
      <c r="I71" s="2"/>
      <c r="J71" s="2"/>
      <c r="K71" s="2"/>
      <c r="L71" s="2"/>
      <c r="M71" s="2">
        <v>1</v>
      </c>
      <c r="N71" s="2">
        <v>5</v>
      </c>
      <c r="O71" s="2">
        <v>1</v>
      </c>
      <c r="P71" s="2"/>
      <c r="Q71" s="2"/>
    </row>
    <row r="72" spans="1:17" ht="12.75">
      <c r="A72" s="30" t="s">
        <v>40</v>
      </c>
      <c r="B72" s="21">
        <v>2</v>
      </c>
      <c r="C72" s="21"/>
      <c r="D72" s="1">
        <f t="shared" si="5"/>
        <v>2</v>
      </c>
      <c r="E72" s="32">
        <f>(D72*100000)/29559</f>
        <v>6.766128759430292</v>
      </c>
      <c r="F72" s="11">
        <f t="shared" si="6"/>
        <v>2</v>
      </c>
      <c r="G72" s="2"/>
      <c r="H72" s="2"/>
      <c r="I72" s="2"/>
      <c r="J72" s="2"/>
      <c r="K72" s="2"/>
      <c r="L72" s="2"/>
      <c r="M72" s="2"/>
      <c r="N72" s="2">
        <v>1</v>
      </c>
      <c r="O72" s="2"/>
      <c r="P72" s="2">
        <v>1</v>
      </c>
      <c r="Q72" s="2"/>
    </row>
    <row r="73" spans="1:17" ht="12.75">
      <c r="A73" s="30" t="s">
        <v>22</v>
      </c>
      <c r="B73" s="21">
        <v>19</v>
      </c>
      <c r="C73" s="21">
        <v>16</v>
      </c>
      <c r="D73" s="1">
        <f t="shared" si="5"/>
        <v>35</v>
      </c>
      <c r="E73" s="32">
        <f>(D73*100000)/52834</f>
        <v>66.24522088049362</v>
      </c>
      <c r="F73" s="11">
        <f t="shared" si="6"/>
        <v>35</v>
      </c>
      <c r="G73" s="1"/>
      <c r="H73" s="1"/>
      <c r="I73" s="1"/>
      <c r="J73" s="1"/>
      <c r="K73" s="1"/>
      <c r="L73" s="1"/>
      <c r="M73" s="1">
        <v>16</v>
      </c>
      <c r="N73" s="1">
        <v>10</v>
      </c>
      <c r="O73" s="1">
        <v>6</v>
      </c>
      <c r="P73" s="1">
        <v>1</v>
      </c>
      <c r="Q73" s="1">
        <v>2</v>
      </c>
    </row>
    <row r="74" spans="1:17" ht="12.75">
      <c r="A74" s="30" t="s">
        <v>41</v>
      </c>
      <c r="B74" s="21">
        <v>1</v>
      </c>
      <c r="C74" s="21">
        <v>3</v>
      </c>
      <c r="D74" s="1">
        <f t="shared" si="5"/>
        <v>4</v>
      </c>
      <c r="E74" s="32">
        <f>(D74*100000)/21536</f>
        <v>18.573551263001487</v>
      </c>
      <c r="F74" s="11">
        <f t="shared" si="6"/>
        <v>4</v>
      </c>
      <c r="G74" s="2"/>
      <c r="H74" s="2"/>
      <c r="I74" s="2"/>
      <c r="J74" s="2"/>
      <c r="K74" s="2"/>
      <c r="L74" s="2"/>
      <c r="M74" s="2">
        <v>4</v>
      </c>
      <c r="N74" s="2"/>
      <c r="O74" s="2"/>
      <c r="P74" s="2"/>
      <c r="Q74" s="2"/>
    </row>
    <row r="75" spans="1:17" ht="12.75">
      <c r="A75" s="30" t="s">
        <v>82</v>
      </c>
      <c r="B75" s="39">
        <v>19</v>
      </c>
      <c r="C75" s="39">
        <v>12</v>
      </c>
      <c r="D75" s="1">
        <f t="shared" si="5"/>
        <v>31</v>
      </c>
      <c r="E75" s="40">
        <f>(D75*100000)/46318</f>
        <v>66.9286238611339</v>
      </c>
      <c r="F75" s="11">
        <f t="shared" si="6"/>
        <v>31</v>
      </c>
      <c r="G75" s="2"/>
      <c r="H75" s="2"/>
      <c r="I75" s="2"/>
      <c r="J75" s="2"/>
      <c r="K75" s="2"/>
      <c r="L75" s="2">
        <v>2</v>
      </c>
      <c r="M75" s="2">
        <v>7</v>
      </c>
      <c r="N75" s="2">
        <v>18</v>
      </c>
      <c r="O75" s="2">
        <v>2</v>
      </c>
      <c r="P75" s="2">
        <v>2</v>
      </c>
      <c r="Q75" s="2"/>
    </row>
    <row r="76" spans="1:17" ht="12.75">
      <c r="A76" s="41" t="s">
        <v>83</v>
      </c>
      <c r="B76" s="35">
        <f>B22+B23+B24+B25+B26+B27+B28+B29+B30+B31+B32+B33+B34+B35+B36+B37+B38+B39+B40+B41+B42+B43+B44+B45+B46+B47+B48+B49+B50+B51+B52+B53+B54+B55+B56+B57+B58+B59+B60+B61+B62+B63+B64+B65+B66+B67+B68+B69+B70+B71+B72+B73+B74+B75</f>
        <v>484</v>
      </c>
      <c r="C76" s="35">
        <f>C22+C23+C24+C25+C26+C27+C28+C29+C30+C31+C32+C33+C34+C35+C36+C37+C38+C39+C40+C41+C42+C43+C44+C45+C46+C47+C48+C49+C50+C51+C52+C53+C54+C55+C56+C57+C58+C59+C60+C61+C62+C63+C64+C65+C66+C67+C68+C69+C70+C71+C72+C73+C74+C75</f>
        <v>349</v>
      </c>
      <c r="D76" s="27">
        <f t="shared" si="5"/>
        <v>833</v>
      </c>
      <c r="E76" s="36">
        <f>(D76*100)/2121211</f>
        <v>0.03927002075701097</v>
      </c>
      <c r="F76" s="29">
        <f>G76+H76+I76+J76+K76+L76+M76+N76+O76+P76+Q76</f>
        <v>833</v>
      </c>
      <c r="G76" s="29">
        <f>G22+G23+G24+G25+G26+G27+G28+G29+G30+G31+G32+G33+G34+G35+G36+G37+G38+G39+G40+G41+G42+G43+G44+G45+G46+G47+G48+G49+G50+G51+G52+G53+G54+G55+G56+G57+G58+G59+G60+G61+G62+G63+G64+G65+G66+G67+G68+G69+G70+G71+G72+G73+G74+G75</f>
        <v>6</v>
      </c>
      <c r="H76" s="29">
        <f aca="true" t="shared" si="7" ref="H76:Q76">H22+H23+H24+H25+H26+H27+H28+H29+H30+H31+H32+H33+H34+H35+H36+H37+H38+H39+H40+H41+H42+H43+H44+H45+H46+H47+H48+H49+H50+H51+H52+H53+H54+H55+H56+H57+H58+H59+H60+H61+H62+H63+H64+H65+H66+H67+H68+H69+H70+H71+H72+H73+H74+H75</f>
        <v>0</v>
      </c>
      <c r="I76" s="29">
        <f t="shared" si="7"/>
        <v>2</v>
      </c>
      <c r="J76" s="29">
        <f t="shared" si="7"/>
        <v>3</v>
      </c>
      <c r="K76" s="29">
        <f t="shared" si="7"/>
        <v>0</v>
      </c>
      <c r="L76" s="29">
        <f t="shared" si="7"/>
        <v>4</v>
      </c>
      <c r="M76" s="29">
        <f t="shared" si="7"/>
        <v>281</v>
      </c>
      <c r="N76" s="29">
        <f t="shared" si="7"/>
        <v>359</v>
      </c>
      <c r="O76" s="29">
        <f t="shared" si="7"/>
        <v>116</v>
      </c>
      <c r="P76" s="29">
        <f t="shared" si="7"/>
        <v>49</v>
      </c>
      <c r="Q76" s="29">
        <f t="shared" si="7"/>
        <v>13</v>
      </c>
    </row>
    <row r="77" spans="1:17" ht="12.75">
      <c r="A77" s="42" t="s">
        <v>92</v>
      </c>
      <c r="B77" s="39">
        <v>8</v>
      </c>
      <c r="C77" s="39">
        <v>3</v>
      </c>
      <c r="D77" s="1">
        <f t="shared" si="5"/>
        <v>11</v>
      </c>
      <c r="E77" s="43">
        <f>(D77*100000)/16450</f>
        <v>66.8693009118541</v>
      </c>
      <c r="F77" s="11">
        <f t="shared" si="6"/>
        <v>11</v>
      </c>
      <c r="G77" s="2"/>
      <c r="H77" s="2"/>
      <c r="I77" s="2">
        <v>1</v>
      </c>
      <c r="J77" s="2"/>
      <c r="K77" s="2"/>
      <c r="L77" s="2"/>
      <c r="M77" s="2">
        <v>2</v>
      </c>
      <c r="N77" s="2">
        <v>4</v>
      </c>
      <c r="O77" s="2">
        <v>2</v>
      </c>
      <c r="P77" s="2">
        <v>2</v>
      </c>
      <c r="Q77" s="2"/>
    </row>
    <row r="78" spans="1:17" ht="12.75">
      <c r="A78" s="16" t="s">
        <v>90</v>
      </c>
      <c r="B78" s="17">
        <v>6</v>
      </c>
      <c r="C78" s="17">
        <v>2</v>
      </c>
      <c r="D78" s="1">
        <f t="shared" si="5"/>
        <v>8</v>
      </c>
      <c r="E78" s="44"/>
      <c r="F78" s="11">
        <f t="shared" si="6"/>
        <v>8</v>
      </c>
      <c r="G78" s="2"/>
      <c r="H78" s="2"/>
      <c r="I78" s="2"/>
      <c r="J78" s="2"/>
      <c r="K78" s="2"/>
      <c r="L78" s="2"/>
      <c r="M78" s="2">
        <v>2</v>
      </c>
      <c r="N78" s="2">
        <v>4</v>
      </c>
      <c r="O78" s="2">
        <v>2</v>
      </c>
      <c r="P78" s="2"/>
      <c r="Q78" s="2"/>
    </row>
    <row r="79" spans="1:17" ht="12.75">
      <c r="A79" s="16" t="s">
        <v>86</v>
      </c>
      <c r="B79" s="17">
        <v>54</v>
      </c>
      <c r="C79" s="17">
        <v>13</v>
      </c>
      <c r="D79" s="1">
        <f t="shared" si="5"/>
        <v>67</v>
      </c>
      <c r="E79" s="44"/>
      <c r="F79" s="11">
        <f t="shared" si="6"/>
        <v>67</v>
      </c>
      <c r="G79" s="1"/>
      <c r="H79" s="1"/>
      <c r="I79" s="1"/>
      <c r="J79" s="1"/>
      <c r="K79" s="1"/>
      <c r="L79" s="1"/>
      <c r="M79" s="1">
        <v>27</v>
      </c>
      <c r="N79" s="1">
        <v>25</v>
      </c>
      <c r="O79" s="1">
        <v>9</v>
      </c>
      <c r="P79" s="1">
        <v>6</v>
      </c>
      <c r="Q79" s="1"/>
    </row>
    <row r="80" spans="1:17" ht="12.75">
      <c r="A80" s="45" t="s">
        <v>91</v>
      </c>
      <c r="B80" s="46">
        <f>B21+B76+B4</f>
        <v>1813</v>
      </c>
      <c r="C80" s="46">
        <f aca="true" t="shared" si="8" ref="C80:Q80">C21+C76+C4</f>
        <v>950</v>
      </c>
      <c r="D80" s="46">
        <f>D21+D76+D4+D78</f>
        <v>2771</v>
      </c>
      <c r="E80" s="28">
        <f>(D80*100000)/4069698</f>
        <v>68.08859035731889</v>
      </c>
      <c r="F80" s="46">
        <f>F21+F76+F4+F78</f>
        <v>2771</v>
      </c>
      <c r="G80" s="46">
        <f t="shared" si="8"/>
        <v>17</v>
      </c>
      <c r="H80" s="46">
        <f t="shared" si="8"/>
        <v>0</v>
      </c>
      <c r="I80" s="46">
        <f t="shared" si="8"/>
        <v>4</v>
      </c>
      <c r="J80" s="46">
        <f t="shared" si="8"/>
        <v>3</v>
      </c>
      <c r="K80" s="46">
        <f t="shared" si="8"/>
        <v>1</v>
      </c>
      <c r="L80" s="46">
        <f t="shared" si="8"/>
        <v>12</v>
      </c>
      <c r="M80" s="46">
        <f t="shared" si="8"/>
        <v>851</v>
      </c>
      <c r="N80" s="46">
        <f t="shared" si="8"/>
        <v>1347</v>
      </c>
      <c r="O80" s="46">
        <f t="shared" si="8"/>
        <v>388</v>
      </c>
      <c r="P80" s="46">
        <f t="shared" si="8"/>
        <v>117</v>
      </c>
      <c r="Q80" s="46">
        <f t="shared" si="8"/>
        <v>23</v>
      </c>
    </row>
    <row r="81" spans="1:17" ht="12.75">
      <c r="A81" s="47" t="s">
        <v>84</v>
      </c>
      <c r="B81" s="48">
        <f>B3+B21+B76+B77+B78+B79</f>
        <v>1932</v>
      </c>
      <c r="C81" s="48">
        <f>C3+C21+C76+C77+C78+C79</f>
        <v>975</v>
      </c>
      <c r="D81" s="49">
        <f t="shared" si="5"/>
        <v>2907</v>
      </c>
      <c r="E81" s="50">
        <f>(D81*100000)/4069698</f>
        <v>71.43036166319958</v>
      </c>
      <c r="F81" s="51">
        <f>F3+F21+F76+F77+F78+F79</f>
        <v>2907</v>
      </c>
      <c r="G81" s="51">
        <f aca="true" t="shared" si="9" ref="G81:Q81">G3+G21+G76+G77+G78+G79</f>
        <v>17</v>
      </c>
      <c r="H81" s="51">
        <f t="shared" si="9"/>
        <v>0</v>
      </c>
      <c r="I81" s="51">
        <f t="shared" si="9"/>
        <v>5</v>
      </c>
      <c r="J81" s="51">
        <f t="shared" si="9"/>
        <v>3</v>
      </c>
      <c r="K81" s="51">
        <f t="shared" si="9"/>
        <v>1</v>
      </c>
      <c r="L81" s="51">
        <f t="shared" si="9"/>
        <v>12</v>
      </c>
      <c r="M81" s="51">
        <f t="shared" si="9"/>
        <v>899</v>
      </c>
      <c r="N81" s="51">
        <f t="shared" si="9"/>
        <v>1412</v>
      </c>
      <c r="O81" s="51">
        <f t="shared" si="9"/>
        <v>409</v>
      </c>
      <c r="P81" s="51">
        <f t="shared" si="9"/>
        <v>126</v>
      </c>
      <c r="Q81" s="51">
        <f t="shared" si="9"/>
        <v>23</v>
      </c>
    </row>
  </sheetData>
  <sheetProtection/>
  <printOptions horizontalCentered="1"/>
  <pageMargins left="0" right="0" top="0" bottom="0" header="0.31496062992125984" footer="0.31496062992125984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 РЦПБ СПИД и 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Информ-анал. отдел</dc:title>
  <dc:subject/>
  <dc:creator>ИАО Давлетшина Р.А.</dc:creator>
  <cp:keywords/>
  <dc:description/>
  <cp:lastModifiedBy>Даша</cp:lastModifiedBy>
  <cp:lastPrinted>2015-12-24T06:21:33Z</cp:lastPrinted>
  <dcterms:created xsi:type="dcterms:W3CDTF">2001-11-22T10:44:08Z</dcterms:created>
  <dcterms:modified xsi:type="dcterms:W3CDTF">2015-12-28T10:35:34Z</dcterms:modified>
  <cp:category/>
  <cp:version/>
  <cp:contentType/>
  <cp:contentStatus/>
</cp:coreProperties>
</file>